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T:\TEMP FOLDER\________EXTENSION________\"/>
    </mc:Choice>
  </mc:AlternateContent>
  <workbookProtection workbookAlgorithmName="SHA-512" workbookHashValue="65WDrxj0hkS6skkAxUB/3AKX66nuTDH5a4xVVYoDp+n1lDeYIDmfFWQ7U7mwdkJ+jZH+ymu/Ykide5xQpwTSKw==" workbookSaltValue="re03CvdhjD6qCEw/my5sDA==" workbookSpinCount="100000" lockStructure="1"/>
  <bookViews>
    <workbookView xWindow="0" yWindow="0" windowWidth="28800" windowHeight="12330"/>
  </bookViews>
  <sheets>
    <sheet name="Introduction" sheetId="7" r:id="rId1"/>
    <sheet name="Comparison" sheetId="1" r:id="rId2"/>
    <sheet name="Futures-options" sheetId="2" r:id="rId3"/>
    <sheet name="LRP" sheetId="3" r:id="rId4"/>
  </sheets>
  <externalReferences>
    <externalReference r:id="rId5"/>
  </externalReferences>
  <definedNames>
    <definedName name="data">[1]kcd!$B$10:$AZ$1374</definedName>
    <definedName name="_xlnm.Print_Area" localSheetId="0">Introduction!$A$1:$M$61</definedName>
    <definedName name="Z_7F8F69BA_F1D1_4483_B535_1A9BCCCC12B7_.wvu.PrintArea" localSheetId="0" hidden="1">Introduction!$B$2:$L$49</definedName>
    <definedName name="Z_7F8F69BA_F1D1_4483_B535_1A9BCCCC12B7_.wvu.Rows" localSheetId="0" hidden="1">Introduction!#REF!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 i="1" l="1"/>
  <c r="G22" i="1" l="1"/>
  <c r="J112" i="1" l="1"/>
  <c r="J111" i="1"/>
  <c r="J110" i="1"/>
  <c r="J109" i="1"/>
  <c r="J108" i="1"/>
  <c r="J107" i="1"/>
  <c r="J106" i="1"/>
  <c r="J105" i="1"/>
  <c r="H106" i="1"/>
  <c r="H107" i="1"/>
  <c r="H108" i="1"/>
  <c r="H109" i="1"/>
  <c r="H110" i="1"/>
  <c r="H111" i="1"/>
  <c r="H112" i="1"/>
  <c r="H105" i="1"/>
  <c r="B6" i="1"/>
  <c r="B117" i="1"/>
  <c r="C117" i="1" s="1"/>
  <c r="D117" i="1"/>
  <c r="D115" i="1"/>
  <c r="M23" i="1"/>
  <c r="P23" i="1"/>
  <c r="O23" i="1"/>
  <c r="J13" i="1"/>
  <c r="K13" i="1" s="1"/>
  <c r="K12" i="1"/>
  <c r="B15" i="1"/>
  <c r="D116" i="1"/>
  <c r="D114" i="1"/>
  <c r="D113" i="1"/>
  <c r="D112" i="1"/>
  <c r="D111" i="1"/>
  <c r="D110" i="1"/>
  <c r="D109" i="1"/>
  <c r="D108" i="1"/>
  <c r="D107" i="1"/>
  <c r="D106" i="1"/>
  <c r="D105" i="1"/>
  <c r="B5" i="1"/>
  <c r="B28" i="1"/>
  <c r="N23" i="1"/>
  <c r="M8" i="1"/>
  <c r="B14" i="1"/>
  <c r="K109" i="1" l="1"/>
  <c r="K106" i="1"/>
  <c r="K107" i="1"/>
  <c r="K108" i="1"/>
  <c r="K110" i="1"/>
  <c r="K111" i="1"/>
  <c r="L12" i="1"/>
  <c r="K105" i="1"/>
  <c r="K112" i="1"/>
  <c r="J14" i="1"/>
  <c r="B29" i="1"/>
  <c r="B30" i="1" s="1"/>
  <c r="B27" i="1"/>
  <c r="B26" i="1" s="1"/>
  <c r="B25" i="1" s="1"/>
  <c r="B24" i="1" s="1"/>
  <c r="B23" i="1" s="1"/>
  <c r="B22" i="1" s="1"/>
  <c r="L13" i="1"/>
  <c r="B31" i="1" l="1"/>
  <c r="B32" i="1" s="1"/>
  <c r="B33" i="1" s="1"/>
  <c r="M113" i="1"/>
  <c r="F23" i="1" s="1"/>
  <c r="G23" i="1" s="1"/>
  <c r="L113" i="1"/>
  <c r="J15" i="1"/>
  <c r="K14" i="1"/>
  <c r="L14" i="1" s="1"/>
  <c r="B34" i="1" l="1"/>
  <c r="Q7" i="1" s="1"/>
  <c r="B116" i="1"/>
  <c r="C116" i="1" s="1"/>
  <c r="F24" i="1"/>
  <c r="F25" i="1" s="1"/>
  <c r="J16" i="1"/>
  <c r="K15" i="1"/>
  <c r="N7" i="1" l="1"/>
  <c r="O7" i="1"/>
  <c r="O15" i="1" s="1"/>
  <c r="P7" i="1"/>
  <c r="G24" i="1"/>
  <c r="B115" i="1"/>
  <c r="C115" i="1" s="1"/>
  <c r="K16" i="1"/>
  <c r="J17" i="1"/>
  <c r="L15" i="1"/>
  <c r="G25" i="1"/>
  <c r="F26" i="1"/>
  <c r="B114" i="1"/>
  <c r="C114" i="1" s="1"/>
  <c r="P12" i="1" l="1"/>
  <c r="P14" i="1"/>
  <c r="P13" i="1"/>
  <c r="N12" i="1"/>
  <c r="N14" i="1"/>
  <c r="N13" i="1"/>
  <c r="P15" i="1"/>
  <c r="O13" i="1"/>
  <c r="O14" i="1"/>
  <c r="O12" i="1"/>
  <c r="N15" i="1"/>
  <c r="L16" i="1"/>
  <c r="O16" i="1"/>
  <c r="N16" i="1"/>
  <c r="P16" i="1"/>
  <c r="J18" i="1"/>
  <c r="K17" i="1"/>
  <c r="G26" i="1"/>
  <c r="F27" i="1"/>
  <c r="B113" i="1"/>
  <c r="C113" i="1" s="1"/>
  <c r="L17" i="1" l="1"/>
  <c r="O17" i="1"/>
  <c r="N17" i="1"/>
  <c r="P17" i="1"/>
  <c r="J19" i="1"/>
  <c r="K18" i="1"/>
  <c r="G27" i="1"/>
  <c r="F28" i="1"/>
  <c r="B112" i="1"/>
  <c r="C112" i="1" s="1"/>
  <c r="L18" i="1" l="1"/>
  <c r="O18" i="1"/>
  <c r="P18" i="1"/>
  <c r="N18" i="1"/>
  <c r="J20" i="1"/>
  <c r="K20" i="1" s="1"/>
  <c r="K19" i="1"/>
  <c r="B111" i="1"/>
  <c r="F29" i="1"/>
  <c r="G28" i="1"/>
  <c r="L19" i="1" l="1"/>
  <c r="O19" i="1"/>
  <c r="N19" i="1"/>
  <c r="P19" i="1"/>
  <c r="L20" i="1"/>
  <c r="O20" i="1"/>
  <c r="N20" i="1"/>
  <c r="P20" i="1"/>
  <c r="C111" i="1"/>
  <c r="B110" i="1"/>
  <c r="C110" i="1" s="1"/>
  <c r="G29" i="1"/>
  <c r="F30" i="1"/>
  <c r="F31" i="1" l="1"/>
  <c r="G30" i="1"/>
  <c r="B109" i="1"/>
  <c r="C109" i="1" s="1"/>
  <c r="G31" i="1" l="1"/>
  <c r="B108" i="1"/>
  <c r="C108" i="1" s="1"/>
  <c r="F32" i="1"/>
  <c r="B107" i="1" l="1"/>
  <c r="F33" i="1"/>
  <c r="G32" i="1"/>
  <c r="C107" i="1" l="1"/>
  <c r="B106" i="1"/>
  <c r="C106" i="1" s="1"/>
  <c r="F34" i="1"/>
  <c r="G33" i="1"/>
  <c r="B105" i="1" l="1"/>
  <c r="G34" i="1"/>
  <c r="C105" i="1" l="1"/>
  <c r="M7" i="1"/>
  <c r="M12" i="1" l="1"/>
  <c r="Q12" i="1" s="1"/>
  <c r="M20" i="1"/>
  <c r="Q20" i="1" s="1"/>
  <c r="M16" i="1"/>
  <c r="Q16" i="1" s="1"/>
  <c r="M14" i="1"/>
  <c r="Q14" i="1" s="1"/>
  <c r="M19" i="1"/>
  <c r="Q19" i="1" s="1"/>
  <c r="M15" i="1"/>
  <c r="Q15" i="1" s="1"/>
  <c r="M13" i="1"/>
  <c r="Q13" i="1" s="1"/>
  <c r="M17" i="1"/>
  <c r="Q17" i="1" s="1"/>
  <c r="M18" i="1"/>
  <c r="Q18" i="1" s="1"/>
</calcChain>
</file>

<file path=xl/comments1.xml><?xml version="1.0" encoding="utf-8"?>
<comments xmlns="http://schemas.openxmlformats.org/spreadsheetml/2006/main">
  <authors>
    <author>AgEcon</author>
    <author>Kevin Dhuyvetter</author>
  </authors>
  <commentList>
    <comment ref="B4" authorId="0" shapeId="0">
      <text>
        <r>
          <rPr>
            <sz val="9"/>
            <color indexed="81"/>
            <rFont val="Tahoma"/>
            <family val="2"/>
          </rPr>
          <t>Enter the current date, or the date associated with the prices and premiums entered below.  This date you enter is not used in calculations, but it will be helpful if the file is saved and viewed at a later time.</t>
        </r>
      </text>
    </comment>
    <comment ref="B5" authorId="0" shapeId="0">
      <text>
        <r>
          <rPr>
            <sz val="9"/>
            <color indexed="81"/>
            <rFont val="Tahoma"/>
            <family val="2"/>
          </rPr>
          <t xml:space="preserve">Enter the number of head expected to sell in the cash market.  
</t>
        </r>
        <r>
          <rPr>
            <b/>
            <sz val="9"/>
            <color indexed="81"/>
            <rFont val="Tahoma"/>
            <family val="2"/>
          </rPr>
          <t>Note:</t>
        </r>
        <r>
          <rPr>
            <sz val="9"/>
            <color indexed="81"/>
            <rFont val="Tahoma"/>
            <family val="2"/>
          </rPr>
          <t xml:space="preserve">  Based on the weight entered, the number of head required to exactly match up with one futures contract is calculated and reported to the left of this cell.</t>
        </r>
      </text>
    </comment>
    <comment ref="L5" authorId="0" shapeId="0">
      <text>
        <r>
          <rPr>
            <sz val="9"/>
            <color indexed="81"/>
            <rFont val="Tahoma"/>
            <family val="2"/>
          </rPr>
          <t>Enter the number of futures contracts that will be sold to hedge the number of cattle that will be sold in the cash market.  Remember, one contract represents 50,000 pounds.</t>
        </r>
      </text>
    </comment>
    <comment ref="M5" authorId="0" shapeId="0">
      <text>
        <r>
          <rPr>
            <sz val="9"/>
            <color indexed="81"/>
            <rFont val="Tahoma"/>
            <family val="2"/>
          </rPr>
          <t>Enter the number of cattle covered with a LRP policy.  This value can be equal to or less than the number of cattle that will be sold in the cash market, but it cannot be greater.</t>
        </r>
      </text>
    </comment>
    <comment ref="N5" authorId="0" shapeId="0">
      <text>
        <r>
          <rPr>
            <sz val="9"/>
            <color indexed="81"/>
            <rFont val="Tahoma"/>
            <family val="2"/>
          </rPr>
          <t>Enter the number of put option contracts that will be purchased to establish a Minimum Expected Selling Price on the cattle that will be sold in the cash market.  Remember, one contract represents 50,000 pounds.</t>
        </r>
      </text>
    </comment>
    <comment ref="O5" authorId="0" shapeId="0">
      <text>
        <r>
          <rPr>
            <sz val="9"/>
            <color indexed="81"/>
            <rFont val="Tahoma"/>
            <family val="2"/>
          </rPr>
          <t>Enter the number of call option contracts that will be purchased in conjunction with a hedge (i.e., a synthetic put) to establish a Minimum Expected Selling Price on the cattle that will be sold in the cash market.  Remember, one contract represents 50,000 pounds.</t>
        </r>
      </text>
    </comment>
    <comment ref="P5" authorId="0" shapeId="0">
      <text>
        <r>
          <rPr>
            <sz val="9"/>
            <color indexed="81"/>
            <rFont val="Tahoma"/>
            <family val="2"/>
          </rPr>
          <t>Enter the number of put option contracts that will be purchased in conjunction with selling call options (i.e., a window or fence option strategy) to establish a Minimum and Maximum Expected Selling Price on the cattle that will be sold in the cash market.  Remember, one contract represents 50,000 pounds.</t>
        </r>
      </text>
    </comment>
    <comment ref="Q5" authorId="0" shapeId="0">
      <text>
        <r>
          <rPr>
            <sz val="9"/>
            <color indexed="81"/>
            <rFont val="Tahoma"/>
            <family val="2"/>
          </rPr>
          <t>Enter the number of call option contracts that will be sold in conjunction with buying put options (i.e., a window or fence) to establish a Minimum and Maximum Expected Selling Price on the cattle that will be sold in the cash market.  Remember, one contract represents 50,000 pounds.</t>
        </r>
      </text>
    </comment>
    <comment ref="B6" authorId="0" shapeId="0">
      <text>
        <r>
          <rPr>
            <sz val="9"/>
            <color indexed="81"/>
            <rFont val="Tahoma"/>
            <family val="2"/>
          </rPr>
          <t xml:space="preserve">Enter the expected weight for the feeder cattle at the time of sale.
</t>
        </r>
        <r>
          <rPr>
            <b/>
            <sz val="9"/>
            <color indexed="81"/>
            <rFont val="Tahoma"/>
            <family val="2"/>
          </rPr>
          <t>Note:</t>
        </r>
        <r>
          <rPr>
            <sz val="9"/>
            <color indexed="81"/>
            <rFont val="Tahoma"/>
            <family val="2"/>
          </rPr>
          <t xml:space="preserve">  Based on the weight entered, the text to the left of this cell will indicate which weight category should be used if you purchase LRP insurance.</t>
        </r>
      </text>
    </comment>
    <comment ref="M6" authorId="0" shapeId="0">
      <text>
        <r>
          <rPr>
            <sz val="9"/>
            <color indexed="81"/>
            <rFont val="Tahoma"/>
            <family val="2"/>
          </rPr>
          <t>Enter the LRP coverage price (from the list to the left) to consider.  Make sure and match the coverage price entered here exactly to one of the values in the table to the left.</t>
        </r>
      </text>
    </comment>
    <comment ref="N6" authorId="0" shapeId="0">
      <text>
        <r>
          <rPr>
            <sz val="9"/>
            <color indexed="81"/>
            <rFont val="Tahoma"/>
            <family val="2"/>
          </rPr>
          <t>Enter the put option strike price (from the list to the left) to consider.  Make sure and match the strike price entered here exactly to one of the values in the table to the left.</t>
        </r>
      </text>
    </comment>
    <comment ref="O6" authorId="0" shapeId="0">
      <text>
        <r>
          <rPr>
            <sz val="9"/>
            <color indexed="81"/>
            <rFont val="Tahoma"/>
            <family val="2"/>
          </rPr>
          <t>Enter the call option strike price (from the list to the left) to consider along with simultaneously hedging (i.e., synthetic put).  Make sure and match the strike price entered here exactly to one of the values in the table to the left.</t>
        </r>
      </text>
    </comment>
    <comment ref="P6" authorId="0" shapeId="0">
      <text>
        <r>
          <rPr>
            <sz val="9"/>
            <color indexed="81"/>
            <rFont val="Tahoma"/>
            <family val="2"/>
          </rPr>
          <t>Enter the put option strike price (from the list to the left) to purchase along with simultaneously selling a call option (i.e., window or fence).  Make sure and match the strike price entered here exactly to one of the values in the table to the left.</t>
        </r>
      </text>
    </comment>
    <comment ref="Q6" authorId="0" shapeId="0">
      <text>
        <r>
          <rPr>
            <sz val="9"/>
            <color indexed="81"/>
            <rFont val="Tahoma"/>
            <family val="2"/>
          </rPr>
          <t>Enter the call option strike price (from the list to the left) to sell along with simultaneously purchasing a put option (i.e., window or fence).  Make sure and match the strike price entered here exactly to one of the values in the table to the left.</t>
        </r>
      </text>
    </comment>
    <comment ref="B7" authorId="0" shapeId="0">
      <text>
        <r>
          <rPr>
            <sz val="9"/>
            <color indexed="81"/>
            <rFont val="Tahoma"/>
            <family val="2"/>
          </rPr>
          <t xml:space="preserve">Calculated number of pounds that are expected to be sold in the cash market.
</t>
        </r>
        <r>
          <rPr>
            <b/>
            <sz val="9"/>
            <color indexed="81"/>
            <rFont val="Tahoma"/>
            <family val="2"/>
          </rPr>
          <t>Note:</t>
        </r>
        <r>
          <rPr>
            <sz val="9"/>
            <color indexed="81"/>
            <rFont val="Tahoma"/>
            <family val="2"/>
          </rPr>
          <t xml:space="preserve">  For reference purposes, there are 50,000 pounds in a feeder cattle contract.</t>
        </r>
      </text>
    </comment>
    <comment ref="B8" authorId="0" shapeId="0">
      <text>
        <r>
          <rPr>
            <sz val="9"/>
            <color indexed="81"/>
            <rFont val="Tahoma"/>
            <family val="2"/>
          </rPr>
          <t>Enter the expected sale date.  This value is not used in calculations, but is relevant when deciding which futures/options contracts to use and the appropriate LRP policy expiration date.</t>
        </r>
      </text>
    </comment>
    <comment ref="B9" authorId="0" shapeId="0">
      <text>
        <r>
          <rPr>
            <sz val="9"/>
            <color indexed="81"/>
            <rFont val="Tahoma"/>
            <family val="2"/>
          </rPr>
          <t xml:space="preserve">Enter the type of feeder cattle from the drop-down menu list, i.e., steers, heifers, Brahman, or Dairy.
</t>
        </r>
        <r>
          <rPr>
            <b/>
            <sz val="9"/>
            <color indexed="81"/>
            <rFont val="Tahoma"/>
            <family val="2"/>
          </rPr>
          <t>Note:</t>
        </r>
        <r>
          <rPr>
            <sz val="9"/>
            <color indexed="81"/>
            <rFont val="Tahoma"/>
            <family val="2"/>
          </rPr>
          <t xml:space="preserve">  You do not have to distinguish between steers or heifers for Brahman or Dairy cattle.</t>
        </r>
      </text>
    </comment>
    <comment ref="B11" authorId="0" shapeId="0">
      <text>
        <r>
          <rPr>
            <sz val="9"/>
            <color indexed="81"/>
            <rFont val="Tahoma"/>
            <family val="2"/>
          </rPr>
          <t>Enter the CME futures contract that is relevant for hedging.  This contract should coincide with the expected sale date and the expected basis values entered previously.</t>
        </r>
      </text>
    </comment>
    <comment ref="M11" authorId="1" shapeId="0">
      <text>
        <r>
          <rPr>
            <sz val="9"/>
            <color indexed="81"/>
            <rFont val="Tahoma"/>
            <family val="2"/>
          </rPr>
          <t>The calculated expected net selling price for LRP is based on the assumption that the CME index price is equal to the futures price.  On average over time, this has been the case, but it can vary and thus in some cases this assumption will not be correct.</t>
        </r>
      </text>
    </comment>
    <comment ref="B12" authorId="0" shapeId="0">
      <text>
        <r>
          <rPr>
            <sz val="9"/>
            <color indexed="81"/>
            <rFont val="Tahoma"/>
            <family val="2"/>
          </rPr>
          <t>Enter the total brokerage commisson required to trade one futures contract.  This value will vary based on services provided, but will typically range from about $30 to $80 per contract.</t>
        </r>
      </text>
    </comment>
    <comment ref="J12" authorId="0" shapeId="0">
      <text>
        <r>
          <rPr>
            <sz val="9"/>
            <color indexed="81"/>
            <rFont val="Tahoma"/>
            <family val="2"/>
          </rPr>
          <t>Enter the minimum feeder cattle futures price that you might expect at the time of the cash sale (this should be for the same futures contract that you entered previously).</t>
        </r>
      </text>
    </comment>
    <comment ref="B13" authorId="0" shapeId="0">
      <text>
        <r>
          <rPr>
            <sz val="9"/>
            <color indexed="81"/>
            <rFont val="Tahoma"/>
            <family val="2"/>
          </rPr>
          <t xml:space="preserve">Enter the brokerage commission to buy </t>
        </r>
        <r>
          <rPr>
            <u/>
            <sz val="9"/>
            <color indexed="81"/>
            <rFont val="Tahoma"/>
            <family val="2"/>
          </rPr>
          <t>or</t>
        </r>
        <r>
          <rPr>
            <sz val="9"/>
            <color indexed="81"/>
            <rFont val="Tahoma"/>
            <family val="2"/>
          </rPr>
          <t xml:space="preserve"> sell one option contract.  This value will vary based on services provided, but will typically be about one-half of the brokerage commission for trading futures.
</t>
        </r>
        <r>
          <rPr>
            <b/>
            <sz val="9"/>
            <color indexed="81"/>
            <rFont val="Tahoma"/>
            <family val="2"/>
          </rPr>
          <t>Note:</t>
        </r>
        <r>
          <rPr>
            <sz val="9"/>
            <color indexed="81"/>
            <rFont val="Tahoma"/>
            <family val="2"/>
          </rPr>
          <t xml:space="preserve">  The formulas here are based on paying option premiums per trade, as opposed to a round-turn.  If your broker charges for a round-turn option trade at the outset, enter one-half of the round-turn brokerage commission amount.</t>
        </r>
      </text>
    </comment>
    <comment ref="B14" authorId="0" shapeId="0">
      <text>
        <r>
          <rPr>
            <sz val="9"/>
            <color indexed="81"/>
            <rFont val="Tahoma"/>
            <family val="2"/>
          </rPr>
          <t xml:space="preserve">Enter the current price of the relevant futures contract at which a hedge could be placed.
</t>
        </r>
        <r>
          <rPr>
            <b/>
            <sz val="9"/>
            <color indexed="81"/>
            <rFont val="Tahoma"/>
            <family val="2"/>
          </rPr>
          <t>Note:</t>
        </r>
        <r>
          <rPr>
            <sz val="9"/>
            <color indexed="81"/>
            <rFont val="Tahoma"/>
            <family val="2"/>
          </rPr>
          <t xml:space="preserve">   A link is provided below to the Chicago Mercantile Exchange (CME) where current settlement prices can be viewed.</t>
        </r>
      </text>
    </comment>
    <comment ref="B15" authorId="0" shapeId="0">
      <text>
        <r>
          <rPr>
            <sz val="9"/>
            <color indexed="81"/>
            <rFont val="Tahoma"/>
            <family val="2"/>
          </rPr>
          <t xml:space="preserve">Enter the expected basis (cash minus futures prices) at the time of the expected sale.
</t>
        </r>
        <r>
          <rPr>
            <b/>
            <sz val="9"/>
            <color indexed="81"/>
            <rFont val="Tahoma"/>
            <family val="2"/>
          </rPr>
          <t>Note:</t>
        </r>
        <r>
          <rPr>
            <sz val="9"/>
            <color indexed="81"/>
            <rFont val="Tahoma"/>
            <family val="2"/>
          </rPr>
          <t xml:space="preserve">  Information on feeder cattle basis can be found at </t>
        </r>
        <r>
          <rPr>
            <b/>
            <i/>
            <sz val="9"/>
            <color indexed="81"/>
            <rFont val="Tahoma"/>
            <family val="2"/>
          </rPr>
          <t>www.AgManager.info</t>
        </r>
        <r>
          <rPr>
            <sz val="9"/>
            <color indexed="81"/>
            <rFont val="Tahoma"/>
            <family val="2"/>
          </rPr>
          <t xml:space="preserve"> and </t>
        </r>
        <r>
          <rPr>
            <b/>
            <i/>
            <sz val="9"/>
            <color indexed="81"/>
            <rFont val="Tahoma"/>
            <family val="2"/>
          </rPr>
          <t>www.BeefBasis.com.</t>
        </r>
      </text>
    </comment>
    <comment ref="B16" authorId="0" shapeId="0">
      <text>
        <r>
          <rPr>
            <sz val="9"/>
            <color indexed="81"/>
            <rFont val="Tahoma"/>
            <family val="2"/>
          </rPr>
          <t xml:space="preserve">Enter the expected ending value of the relevant LRP policy.  
</t>
        </r>
        <r>
          <rPr>
            <b/>
            <sz val="9"/>
            <color indexed="81"/>
            <rFont val="Tahoma"/>
            <family val="2"/>
          </rPr>
          <t>Note:</t>
        </r>
        <r>
          <rPr>
            <sz val="9"/>
            <color indexed="81"/>
            <rFont val="Tahoma"/>
            <family val="2"/>
          </rPr>
          <t xml:space="preserve">   A link is provided below to the RMA website where LRP ending values, coverage levels, and premiums can be viewed.</t>
        </r>
      </text>
    </comment>
    <comment ref="B17" authorId="0" shapeId="0">
      <text>
        <r>
          <rPr>
            <sz val="9"/>
            <color indexed="81"/>
            <rFont val="Tahoma"/>
            <family val="2"/>
          </rPr>
          <t>Enter the ending date of the LRP contract being considered.  This value is not used in calculations, but is relevant when deciding which LRP policy is most appropriate (i.e., it should match as close as possible to the cash sale date entered above).</t>
        </r>
      </text>
    </comment>
    <comment ref="B19" authorId="0" shapeId="0">
      <text>
        <r>
          <rPr>
            <sz val="9"/>
            <color indexed="81"/>
            <rFont val="Tahoma"/>
            <family val="2"/>
          </rPr>
          <t xml:space="preserve">Option strike prices are based on the futures price entered above.  Premiums on Put and Call options need to be entered.  If a particular strike price listed is not being traded, leave the premium blank.
</t>
        </r>
        <r>
          <rPr>
            <b/>
            <sz val="9"/>
            <color indexed="81"/>
            <rFont val="Tahoma"/>
            <family val="2"/>
          </rPr>
          <t>Note:</t>
        </r>
        <r>
          <rPr>
            <sz val="9"/>
            <color indexed="81"/>
            <rFont val="Tahoma"/>
            <family val="2"/>
          </rPr>
          <t xml:space="preserve">   A link is provided below to the CME where current option premiums can be viewed.</t>
        </r>
      </text>
    </comment>
    <comment ref="F19" authorId="0" shapeId="0">
      <text>
        <r>
          <rPr>
            <sz val="9"/>
            <color indexed="81"/>
            <rFont val="Tahoma"/>
            <family val="2"/>
          </rPr>
          <t xml:space="preserve">The maximum LRP coverage level ($/cwt) needs to be entered and then other values will be calculated and automatically filled in.  These coverage levels and premiums should coincide with the LRP expected ending value and end date values entered above.  Premiums on the various LRP coverage levels need to be entered.  If a particular coverage level listed is not being offered, leave the premium blank.
</t>
        </r>
        <r>
          <rPr>
            <b/>
            <sz val="9"/>
            <color indexed="81"/>
            <rFont val="Tahoma"/>
            <family val="2"/>
          </rPr>
          <t>Note:</t>
        </r>
        <r>
          <rPr>
            <sz val="9"/>
            <color indexed="81"/>
            <rFont val="Tahoma"/>
            <family val="2"/>
          </rPr>
          <t xml:space="preserve">   A link is provided below to the RMA website where current LRP coverage levels, ending dates and premiums can be seen.</t>
        </r>
      </text>
    </comment>
    <comment ref="J21" authorId="0" shapeId="0">
      <text>
        <r>
          <rPr>
            <sz val="9"/>
            <color indexed="81"/>
            <rFont val="Tahoma"/>
            <family val="2"/>
          </rPr>
          <t>Enter the increment to use for the range of futures prices desired above.  A value should be chosen such that the maximum futures price listed above reflects your expected upper limit for where prices might be at the time of the cash sale.</t>
        </r>
      </text>
    </comment>
  </commentList>
</comments>
</file>

<file path=xl/sharedStrings.xml><?xml version="1.0" encoding="utf-8"?>
<sst xmlns="http://schemas.openxmlformats.org/spreadsheetml/2006/main" count="125" uniqueCount="93">
  <si>
    <t>Cash</t>
  </si>
  <si>
    <t>Hedge</t>
  </si>
  <si>
    <t>&lt;= futures price increment</t>
  </si>
  <si>
    <t>Commission for roundtrip (sell and buy) futures trade, $/contract</t>
  </si>
  <si>
    <t>Commission to buy or sell options contract, $/contract</t>
  </si>
  <si>
    <t>Pounds per feeder cattle futures contract</t>
  </si>
  <si>
    <t>CME feeder cattle option premiums</t>
  </si>
  <si>
    <t>Strike price</t>
  </si>
  <si>
    <t>Put</t>
  </si>
  <si>
    <t>Call</t>
  </si>
  <si>
    <t>price</t>
  </si>
  <si>
    <t>Expected sale date</t>
  </si>
  <si>
    <t>Example INPUT screen for LRP premiums</t>
  </si>
  <si>
    <t>Example OUTPUT screen for LRP premiums</t>
  </si>
  <si>
    <t>LRP coverage levels and premiums</t>
  </si>
  <si>
    <t>Futures</t>
  </si>
  <si>
    <t>Coverage Level</t>
  </si>
  <si>
    <t>$/cwt</t>
  </si>
  <si>
    <t xml:space="preserve">-%-   </t>
  </si>
  <si>
    <t>Number of contracts</t>
  </si>
  <si>
    <t>Strike price(s), $/cwt</t>
  </si>
  <si>
    <t>Premium, $/cwt</t>
  </si>
  <si>
    <t>LRP</t>
  </si>
  <si>
    <t>Put&amp;Call</t>
  </si>
  <si>
    <t>Pounds of cattle expected to sell in cash market, lbs</t>
  </si>
  <si>
    <t>End date for LRP contract</t>
  </si>
  <si>
    <r>
      <t xml:space="preserve">CME futures contract for hedging </t>
    </r>
    <r>
      <rPr>
        <b/>
        <sz val="9"/>
        <rFont val="Arial"/>
        <family val="2"/>
      </rPr>
      <t>(Jan, Mar, Apr, May, Aug, Sep, Oct, Nov)</t>
    </r>
  </si>
  <si>
    <t>Developed by:</t>
  </si>
  <si>
    <t>Kevin C. Dhuyvetter, PhD</t>
  </si>
  <si>
    <t>Kansas State University</t>
  </si>
  <si>
    <t>FeederCattleRiskMgmtTool.xls</t>
  </si>
  <si>
    <t>LRP cost</t>
  </si>
  <si>
    <t>LRP expected ending value for relevant time period^</t>
  </si>
  <si>
    <t xml:space="preserve"> ^ Website with LRP coverage levels and premiums</t>
  </si>
  <si>
    <t xml:space="preserve"> * Website with futures prices and option premium quotes</t>
  </si>
  <si>
    <t>&amp;Call</t>
  </si>
  <si>
    <t xml:space="preserve">Signifies maximum price in row   </t>
  </si>
  <si>
    <t>LRP coverage level</t>
  </si>
  <si>
    <t>Current date</t>
  </si>
  <si>
    <t xml:space="preserve"> # Websites with information on feeder cattle basis</t>
  </si>
  <si>
    <t>Feeder cattle type</t>
  </si>
  <si>
    <t>Steers</t>
  </si>
  <si>
    <t>Heifers</t>
  </si>
  <si>
    <t>Braham</t>
  </si>
  <si>
    <t>Dairy</t>
  </si>
  <si>
    <t>Minimum weight for Wt2</t>
  </si>
  <si>
    <t>Maximum weight for Wt2</t>
  </si>
  <si>
    <t>Data/information used in formulas above -- do not delete!</t>
  </si>
  <si>
    <t>LRP adjustment factor used in formulas</t>
  </si>
  <si>
    <t>Comparison of Alternative Risk Management Strategies for Pricing Feeder Cattle</t>
  </si>
  <si>
    <t>Futures Hedge</t>
  </si>
  <si>
    <t>LRP Insurance Information</t>
  </si>
  <si>
    <t>Price Risk Management Information</t>
  </si>
  <si>
    <t>Department of Agricultural Economics</t>
  </si>
  <si>
    <t>Expected Net Selling Prices</t>
  </si>
  <si>
    <t>Weight 1</t>
  </si>
  <si>
    <t>Weight 2</t>
  </si>
  <si>
    <t>Weigh 2</t>
  </si>
  <si>
    <t>Type</t>
  </si>
  <si>
    <t>Weight</t>
  </si>
  <si>
    <t>Factor</t>
  </si>
  <si>
    <t>Price</t>
  </si>
  <si>
    <t>Adj.</t>
  </si>
  <si>
    <t>Inc.</t>
  </si>
  <si>
    <t/>
  </si>
  <si>
    <t>Updated by:</t>
  </si>
  <si>
    <t>Glynn T. Tonsor, Ph.D.</t>
  </si>
  <si>
    <t>Glynn T. Tonsor, PhD</t>
  </si>
  <si>
    <t>KSU-Feeder Cattle Risk Management Tool</t>
  </si>
  <si>
    <t>An Excel spreadsheet for evaluating feeder cattle risk management strategies</t>
  </si>
  <si>
    <t>INTRODUCTION</t>
  </si>
  <si>
    <t>This spreadsheet was developed as a decision-aid tool for producers interested in managing feeder cattle price risk. It can be used to compare the Expected Net Selling Price using alternative risk management tools available for pricing feeder cattle.</t>
  </si>
  <si>
    <t>INSTRUCTIONS FOR THE USER:</t>
  </si>
  <si>
    <t>FOR MORE INFORMATION:</t>
  </si>
  <si>
    <t>To learn more about managing price risk and using LRP insurance visit www.AgManager.info or click on the following links:</t>
  </si>
  <si>
    <t>Agricultural Economist</t>
  </si>
  <si>
    <t>gtonsor@k-state.edu</t>
  </si>
  <si>
    <t>785-532-1518</t>
  </si>
  <si>
    <t>ACKNOWLEDGEMENTS:</t>
  </si>
  <si>
    <t>This spreadsheet was originally developed by Kevin Dhuyvetter, Ph.D., Agricultural Economist, Kanasas State University.  The authors gratefully acknowledge funding provided by USDA's Risk Management Agency (RMA) for initial development of this feeder cattle risk management tool.</t>
  </si>
  <si>
    <t>http://www.cmegroup.com/trading/agricultural/livestock/feeder-cattle_quotes_globex_options.html</t>
  </si>
  <si>
    <t>http://www.beefbasis.com/</t>
  </si>
  <si>
    <t>http://www.agmanager.info/livestock/marketing/graphs/</t>
  </si>
  <si>
    <t>http://www.cmegroup.com/trading/agricultural/livestock/feeder-cattle.html</t>
  </si>
  <si>
    <r>
      <t xml:space="preserve">Be sure to </t>
    </r>
    <r>
      <rPr>
        <b/>
        <sz val="10"/>
        <rFont val="Arial"/>
        <family val="2"/>
      </rPr>
      <t xml:space="preserve">"Enable Content" </t>
    </r>
    <r>
      <rPr>
        <sz val="10"/>
        <rFont val="Arial"/>
        <family val="2"/>
      </rPr>
      <t xml:space="preserve">and </t>
    </r>
    <r>
      <rPr>
        <b/>
        <sz val="10"/>
        <rFont val="Arial"/>
        <family val="2"/>
      </rPr>
      <t>"Enable Macros"</t>
    </r>
    <r>
      <rPr>
        <sz val="10"/>
        <rFont val="Arial"/>
        <family val="2"/>
      </rPr>
      <t xml:space="preserve"> for the spreadsheet to function correctly.</t>
    </r>
  </si>
  <si>
    <t xml:space="preserve">In the Comparison sheet all blue numbers are input by the user.  All black numbers are calculated using data provided by the user.  The spreadsheet automatically recalculates every time an additional input is entered.  Thus, it is important to wait until all data have been entered and reviewed before interpreting any of the calculated results (i.e., black numbers). Most of the input cells (i.e., blue number) have a red diamond in the upper right hand corner of the cell.  By moving your mouse cursor over this diamond, a brief description of the input will be displayed on the screen.  </t>
  </si>
  <si>
    <t>https://public.rma.usda.gov/livestockreports/main.aspx</t>
  </si>
  <si>
    <t>Example screen from CME website showing prices for 7/3/2019 for feeder cattle futures contracts</t>
  </si>
  <si>
    <t>Example screen from CME website showing option premiums for 7/3/2019 for OCT 2019 feeder cattle contract</t>
  </si>
  <si>
    <t>Copyright 2020 AgManager.info, K-State Department of Agricultural Economics</t>
  </si>
  <si>
    <t xml:space="preserve">https://public.rma.usda.gov/livestockreports/main.aspx </t>
  </si>
  <si>
    <t>Oct</t>
  </si>
  <si>
    <t>Version- 7.6.2020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</si>
</sst>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quot;$&quot;#,##0.00"/>
    <numFmt numFmtId="165" formatCode="&quot;$&quot;#,##0.0000"/>
    <numFmt numFmtId="166" formatCode="&quot;$&quot;#,##0.000"/>
    <numFmt numFmtId="167" formatCode="0.0%"/>
    <numFmt numFmtId="168" formatCode="mm/dd/yy;@"/>
    <numFmt numFmtId="169" formatCode="m/d/yyyy;@"/>
    <numFmt numFmtId="170" formatCode="0.0"/>
  </numFmts>
  <fonts count="49" x14ac:knownFonts="1">
    <font>
      <sz val="10"/>
      <name val="Arial"/>
    </font>
    <font>
      <sz val="10"/>
      <name val="Arial"/>
      <family val="2"/>
    </font>
    <font>
      <b/>
      <sz val="10"/>
      <name val="Arial"/>
      <family val="2"/>
    </font>
    <font>
      <b/>
      <sz val="10"/>
      <color indexed="12"/>
      <name val="Arial"/>
      <family val="2"/>
    </font>
    <font>
      <u/>
      <sz val="8.6999999999999993"/>
      <color indexed="12"/>
      <name val="Arial"/>
      <family val="2"/>
    </font>
    <font>
      <sz val="8"/>
      <name val="Arial"/>
      <family val="2"/>
    </font>
    <font>
      <sz val="10"/>
      <color indexed="8"/>
      <name val="Verdana"/>
      <family val="2"/>
    </font>
    <font>
      <b/>
      <i/>
      <sz val="10"/>
      <color indexed="10"/>
      <name val="Arial"/>
      <family val="2"/>
    </font>
    <font>
      <b/>
      <sz val="12"/>
      <name val="Arial"/>
      <family val="2"/>
    </font>
    <font>
      <b/>
      <u/>
      <sz val="8.6999999999999993"/>
      <color indexed="12"/>
      <name val="Arial"/>
      <family val="2"/>
    </font>
    <font>
      <b/>
      <sz val="9"/>
      <name val="Arial"/>
      <family val="2"/>
    </font>
    <font>
      <b/>
      <sz val="8.6999999999999993"/>
      <name val="Arial"/>
      <family val="2"/>
    </font>
    <font>
      <b/>
      <i/>
      <sz val="10"/>
      <name val="Arial"/>
      <family val="2"/>
    </font>
    <font>
      <b/>
      <sz val="10"/>
      <color indexed="9"/>
      <name val="Arial"/>
      <family val="2"/>
    </font>
    <font>
      <sz val="9"/>
      <color indexed="81"/>
      <name val="Tahoma"/>
      <family val="2"/>
    </font>
    <font>
      <b/>
      <sz val="9"/>
      <color indexed="81"/>
      <name val="Tahoma"/>
      <family val="2"/>
    </font>
    <font>
      <b/>
      <i/>
      <sz val="9"/>
      <color indexed="81"/>
      <name val="Tahoma"/>
      <family val="2"/>
    </font>
    <font>
      <u/>
      <sz val="9"/>
      <color indexed="81"/>
      <name val="Tahoma"/>
      <family val="2"/>
    </font>
    <font>
      <u/>
      <sz val="10"/>
      <color indexed="12"/>
      <name val="Arial"/>
      <family val="2"/>
    </font>
    <font>
      <b/>
      <sz val="10"/>
      <color rgb="FF000000"/>
      <name val="Arial"/>
      <family val="2"/>
    </font>
    <font>
      <b/>
      <sz val="11"/>
      <name val="Arial"/>
      <family val="2"/>
    </font>
    <font>
      <u/>
      <sz val="11"/>
      <color indexed="12"/>
      <name val="Arial"/>
      <family val="2"/>
    </font>
    <font>
      <u/>
      <sz val="12"/>
      <color indexed="12"/>
      <name val="Arial"/>
      <family val="2"/>
    </font>
    <font>
      <sz val="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name val="Calibri"/>
      <family val="2"/>
      <scheme val="minor"/>
    </font>
    <font>
      <u/>
      <sz val="12"/>
      <name val="Calibri"/>
      <family val="2"/>
      <scheme val="minor"/>
    </font>
    <font>
      <b/>
      <u/>
      <sz val="12"/>
      <color indexed="12"/>
      <name val="Calibri"/>
      <family val="2"/>
      <scheme val="minor"/>
    </font>
    <font>
      <b/>
      <sz val="12"/>
      <color indexed="12"/>
      <name val="Calibri"/>
      <family val="2"/>
      <scheme val="minor"/>
    </font>
    <font>
      <sz val="11"/>
      <name val="Arial"/>
      <family val="2"/>
    </font>
    <font>
      <u/>
      <sz val="10"/>
      <color indexed="12"/>
      <name val="Arial"/>
      <family val="2"/>
    </font>
    <font>
      <u/>
      <sz val="12"/>
      <color indexed="12"/>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13"/>
        <bgColor indexed="64"/>
      </patternFill>
    </fill>
    <fill>
      <patternFill patternType="solid">
        <fgColor rgb="FF7030A0"/>
        <bgColor indexed="64"/>
      </patternFill>
    </fill>
    <fill>
      <patternFill patternType="solid">
        <fgColor rgb="FFFFFFCC"/>
        <bgColor indexed="64"/>
      </patternFill>
    </fill>
  </fills>
  <borders count="14">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dotted">
        <color indexed="23"/>
      </top>
      <bottom style="dotted">
        <color indexed="23"/>
      </bottom>
      <diagonal/>
    </border>
    <border>
      <left style="medium">
        <color indexed="64"/>
      </left>
      <right/>
      <top/>
      <bottom style="medium">
        <color indexed="64"/>
      </bottom>
      <diagonal/>
    </border>
    <border>
      <left/>
      <right/>
      <top style="dotted">
        <color indexed="23"/>
      </top>
      <bottom style="medium">
        <color indexed="8"/>
      </bottom>
      <diagonal/>
    </border>
    <border>
      <left/>
      <right/>
      <top/>
      <bottom style="thin">
        <color indexed="64"/>
      </bottom>
      <diagonal/>
    </border>
    <border>
      <left/>
      <right/>
      <top style="thin">
        <color indexed="64"/>
      </top>
      <bottom/>
      <diagonal/>
    </border>
    <border>
      <left/>
      <right/>
      <top style="dotted">
        <color indexed="23"/>
      </top>
      <bottom style="medium">
        <color indexed="64"/>
      </bottom>
      <diagonal/>
    </border>
  </borders>
  <cellStyleXfs count="6">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cellStyleXfs>
  <cellXfs count="165">
    <xf numFmtId="0" fontId="0" fillId="0" borderId="0" xfId="0"/>
    <xf numFmtId="0" fontId="0" fillId="2" borderId="0" xfId="0" applyFill="1"/>
    <xf numFmtId="0" fontId="6" fillId="2" borderId="0" xfId="0" applyFont="1" applyFill="1" applyBorder="1" applyAlignment="1">
      <alignment horizontal="left" wrapText="1"/>
    </xf>
    <xf numFmtId="0" fontId="6" fillId="2" borderId="0" xfId="0" applyFont="1" applyFill="1" applyBorder="1" applyAlignment="1">
      <alignment horizontal="right" wrapText="1"/>
    </xf>
    <xf numFmtId="0" fontId="0" fillId="2" borderId="0" xfId="0" applyFill="1" applyBorder="1"/>
    <xf numFmtId="0" fontId="2" fillId="2" borderId="0" xfId="0" applyFont="1" applyFill="1"/>
    <xf numFmtId="0" fontId="8" fillId="2" borderId="1" xfId="0" applyFont="1" applyFill="1" applyBorder="1"/>
    <xf numFmtId="0" fontId="2" fillId="2" borderId="1" xfId="0" applyFont="1" applyFill="1" applyBorder="1"/>
    <xf numFmtId="3" fontId="2" fillId="2" borderId="0" xfId="0" applyNumberFormat="1" applyFont="1" applyFill="1"/>
    <xf numFmtId="166" fontId="2" fillId="2" borderId="0" xfId="0" applyNumberFormat="1" applyFont="1" applyFill="1"/>
    <xf numFmtId="0" fontId="7" fillId="2" borderId="0" xfId="0" applyFont="1" applyFill="1"/>
    <xf numFmtId="0" fontId="2" fillId="2" borderId="1" xfId="0" applyFont="1" applyFill="1" applyBorder="1" applyAlignment="1">
      <alignment horizontal="right"/>
    </xf>
    <xf numFmtId="164" fontId="2" fillId="2" borderId="0" xfId="0" applyNumberFormat="1" applyFont="1" applyFill="1"/>
    <xf numFmtId="0" fontId="2" fillId="2" borderId="0" xfId="0" applyFont="1" applyFill="1" applyAlignment="1">
      <alignment horizontal="centerContinuous"/>
    </xf>
    <xf numFmtId="166" fontId="2" fillId="2" borderId="1" xfId="0" applyNumberFormat="1" applyFont="1" applyFill="1" applyBorder="1"/>
    <xf numFmtId="0" fontId="12" fillId="2" borderId="0" xfId="0" applyFont="1" applyFill="1"/>
    <xf numFmtId="0" fontId="2" fillId="2" borderId="0" xfId="0" applyFont="1" applyFill="1" applyAlignment="1">
      <alignment horizontal="center"/>
    </xf>
    <xf numFmtId="0" fontId="2" fillId="2" borderId="1" xfId="0" applyFont="1" applyFill="1" applyBorder="1" applyAlignment="1">
      <alignment horizontal="center"/>
    </xf>
    <xf numFmtId="164" fontId="2" fillId="2" borderId="0" xfId="0" applyNumberFormat="1" applyFont="1" applyFill="1" applyAlignment="1">
      <alignment horizontal="center"/>
    </xf>
    <xf numFmtId="164" fontId="2" fillId="2" borderId="1" xfId="0" applyNumberFormat="1" applyFont="1" applyFill="1" applyBorder="1" applyAlignment="1">
      <alignment horizontal="center"/>
    </xf>
    <xf numFmtId="0" fontId="2" fillId="2" borderId="1" xfId="0" quotePrefix="1" applyFont="1" applyFill="1" applyBorder="1" applyAlignment="1">
      <alignment horizontal="center"/>
    </xf>
    <xf numFmtId="10" fontId="2" fillId="2" borderId="0" xfId="2" applyNumberFormat="1" applyFont="1" applyFill="1" applyAlignment="1">
      <alignment horizontal="center"/>
    </xf>
    <xf numFmtId="10" fontId="2" fillId="2" borderId="1" xfId="2" applyNumberFormat="1" applyFont="1" applyFill="1" applyBorder="1" applyAlignment="1">
      <alignment horizontal="center"/>
    </xf>
    <xf numFmtId="0" fontId="2" fillId="3" borderId="2" xfId="0" applyFont="1" applyFill="1" applyBorder="1"/>
    <xf numFmtId="0" fontId="2" fillId="3" borderId="3" xfId="0" applyFont="1" applyFill="1" applyBorder="1"/>
    <xf numFmtId="0" fontId="2" fillId="3" borderId="5" xfId="0" applyFont="1" applyFill="1" applyBorder="1"/>
    <xf numFmtId="0" fontId="2" fillId="3" borderId="0" xfId="0" applyFont="1" applyFill="1" applyBorder="1"/>
    <xf numFmtId="0" fontId="11" fillId="3" borderId="5" xfId="1" applyFont="1" applyFill="1" applyBorder="1" applyAlignment="1" applyProtection="1"/>
    <xf numFmtId="0" fontId="2" fillId="3" borderId="1" xfId="0" applyFont="1" applyFill="1" applyBorder="1"/>
    <xf numFmtId="0" fontId="4" fillId="2" borderId="0" xfId="1" applyFill="1" applyAlignment="1" applyProtection="1"/>
    <xf numFmtId="0" fontId="2" fillId="4" borderId="0" xfId="0" applyFont="1" applyFill="1"/>
    <xf numFmtId="164" fontId="13" fillId="2" borderId="0" xfId="0" applyNumberFormat="1" applyFont="1" applyFill="1"/>
    <xf numFmtId="164" fontId="13" fillId="2" borderId="1" xfId="0" applyNumberFormat="1" applyFont="1" applyFill="1" applyBorder="1"/>
    <xf numFmtId="0" fontId="10" fillId="4" borderId="0" xfId="0" applyFont="1" applyFill="1" applyAlignment="1">
      <alignment horizontal="right"/>
    </xf>
    <xf numFmtId="164" fontId="2" fillId="2" borderId="8" xfId="0" applyNumberFormat="1" applyFont="1" applyFill="1" applyBorder="1" applyAlignment="1">
      <alignment horizontal="center"/>
    </xf>
    <xf numFmtId="166" fontId="2" fillId="2" borderId="8" xfId="0" applyNumberFormat="1" applyFont="1" applyFill="1" applyBorder="1" applyAlignment="1">
      <alignment horizontal="center"/>
    </xf>
    <xf numFmtId="10" fontId="2" fillId="2" borderId="8" xfId="2" applyNumberFormat="1" applyFont="1" applyFill="1" applyBorder="1" applyAlignment="1">
      <alignment horizontal="center"/>
    </xf>
    <xf numFmtId="164" fontId="13" fillId="2" borderId="8" xfId="0" applyNumberFormat="1" applyFont="1" applyFill="1" applyBorder="1"/>
    <xf numFmtId="166" fontId="2" fillId="2" borderId="1" xfId="0" quotePrefix="1" applyNumberFormat="1" applyFont="1" applyFill="1" applyBorder="1"/>
    <xf numFmtId="166" fontId="2" fillId="2" borderId="0" xfId="0" applyNumberFormat="1" applyFont="1" applyFill="1" applyAlignment="1">
      <alignment horizontal="right"/>
    </xf>
    <xf numFmtId="167" fontId="2" fillId="2" borderId="0" xfId="2" applyNumberFormat="1" applyFont="1" applyFill="1"/>
    <xf numFmtId="167" fontId="2" fillId="2" borderId="1" xfId="2" applyNumberFormat="1" applyFont="1" applyFill="1" applyBorder="1"/>
    <xf numFmtId="166" fontId="2" fillId="2" borderId="1" xfId="0" applyNumberFormat="1" applyFont="1" applyFill="1" applyBorder="1" applyAlignment="1">
      <alignment horizontal="right"/>
    </xf>
    <xf numFmtId="0" fontId="0" fillId="5" borderId="0" xfId="0" applyFill="1"/>
    <xf numFmtId="168" fontId="2" fillId="2" borderId="0" xfId="0" applyNumberFormat="1" applyFont="1" applyFill="1"/>
    <xf numFmtId="0" fontId="2" fillId="5" borderId="0" xfId="0" applyFont="1" applyFill="1"/>
    <xf numFmtId="2" fontId="2" fillId="2" borderId="0" xfId="0" applyNumberFormat="1" applyFont="1" applyFill="1"/>
    <xf numFmtId="170" fontId="2" fillId="2" borderId="0" xfId="0" applyNumberFormat="1" applyFont="1" applyFill="1" applyAlignment="1">
      <alignment horizontal="center"/>
    </xf>
    <xf numFmtId="2" fontId="3" fillId="2" borderId="0" xfId="0" applyNumberFormat="1" applyFont="1" applyFill="1" applyAlignment="1">
      <alignment horizontal="center"/>
    </xf>
    <xf numFmtId="0" fontId="3" fillId="2" borderId="0" xfId="0" applyFont="1" applyFill="1" applyAlignment="1">
      <alignment horizontal="center"/>
    </xf>
    <xf numFmtId="0" fontId="10" fillId="2" borderId="1" xfId="0" applyFont="1" applyFill="1" applyBorder="1" applyAlignment="1">
      <alignment horizontal="right"/>
    </xf>
    <xf numFmtId="0" fontId="10" fillId="2" borderId="1" xfId="0" applyFont="1" applyFill="1" applyBorder="1"/>
    <xf numFmtId="169" fontId="3" fillId="3" borderId="0" xfId="0" applyNumberFormat="1" applyFont="1" applyFill="1" applyProtection="1">
      <protection locked="0"/>
    </xf>
    <xf numFmtId="0" fontId="3" fillId="3" borderId="0" xfId="0" applyFont="1" applyFill="1" applyAlignment="1" applyProtection="1">
      <alignment horizontal="right"/>
      <protection locked="0"/>
    </xf>
    <xf numFmtId="0" fontId="3" fillId="3" borderId="0" xfId="0" applyFont="1" applyFill="1" applyProtection="1">
      <protection locked="0"/>
    </xf>
    <xf numFmtId="164" fontId="3" fillId="3" borderId="0" xfId="0" applyNumberFormat="1" applyFont="1" applyFill="1" applyAlignment="1" applyProtection="1">
      <alignment horizontal="right"/>
      <protection locked="0"/>
    </xf>
    <xf numFmtId="166" fontId="3" fillId="3" borderId="0" xfId="0" applyNumberFormat="1" applyFont="1" applyFill="1" applyAlignment="1" applyProtection="1">
      <alignment horizontal="right"/>
      <protection locked="0"/>
    </xf>
    <xf numFmtId="14" fontId="3" fillId="3" borderId="0" xfId="0" applyNumberFormat="1" applyFont="1" applyFill="1" applyProtection="1">
      <protection locked="0"/>
    </xf>
    <xf numFmtId="165" fontId="3" fillId="3" borderId="0" xfId="0" applyNumberFormat="1" applyFont="1" applyFill="1" applyAlignment="1" applyProtection="1">
      <alignment horizontal="center"/>
      <protection locked="0"/>
    </xf>
    <xf numFmtId="165" fontId="3" fillId="3" borderId="8" xfId="0" applyNumberFormat="1" applyFont="1" applyFill="1" applyBorder="1" applyAlignment="1" applyProtection="1">
      <alignment horizontal="center"/>
      <protection locked="0"/>
    </xf>
    <xf numFmtId="165" fontId="3" fillId="3" borderId="1" xfId="0" applyNumberFormat="1" applyFont="1" applyFill="1" applyBorder="1" applyAlignment="1" applyProtection="1">
      <alignment horizontal="center"/>
      <protection locked="0"/>
    </xf>
    <xf numFmtId="166" fontId="3" fillId="3" borderId="0" xfId="0" applyNumberFormat="1" applyFont="1" applyFill="1" applyAlignment="1" applyProtection="1">
      <alignment horizontal="center"/>
      <protection locked="0"/>
    </xf>
    <xf numFmtId="166" fontId="3" fillId="3" borderId="8" xfId="0" applyNumberFormat="1" applyFont="1" applyFill="1" applyBorder="1" applyAlignment="1" applyProtection="1">
      <alignment horizontal="center"/>
      <protection locked="0"/>
    </xf>
    <xf numFmtId="166" fontId="3" fillId="3" borderId="1" xfId="0" applyNumberFormat="1" applyFont="1" applyFill="1" applyBorder="1" applyAlignment="1" applyProtection="1">
      <alignment horizontal="center"/>
      <protection locked="0"/>
    </xf>
    <xf numFmtId="164" fontId="3" fillId="3" borderId="0" xfId="0" applyNumberFormat="1" applyFont="1" applyFill="1" applyProtection="1">
      <protection locked="0"/>
    </xf>
    <xf numFmtId="164" fontId="3" fillId="3" borderId="0" xfId="0" applyNumberFormat="1" applyFont="1" applyFill="1" applyAlignment="1" applyProtection="1">
      <alignment horizontal="right" indent="1"/>
      <protection locked="0"/>
    </xf>
    <xf numFmtId="164" fontId="2" fillId="2" borderId="0" xfId="0" applyNumberFormat="1" applyFont="1" applyFill="1" applyAlignment="1">
      <alignment horizontal="right" indent="1"/>
    </xf>
    <xf numFmtId="164" fontId="2" fillId="2" borderId="0" xfId="0" quotePrefix="1" applyNumberFormat="1" applyFont="1" applyFill="1" applyAlignment="1">
      <alignment horizontal="right" indent="1"/>
    </xf>
    <xf numFmtId="164" fontId="2" fillId="2" borderId="8" xfId="0" quotePrefix="1" applyNumberFormat="1" applyFont="1" applyFill="1" applyBorder="1" applyAlignment="1">
      <alignment horizontal="right" indent="1"/>
    </xf>
    <xf numFmtId="164" fontId="2" fillId="2" borderId="8" xfId="0" applyNumberFormat="1" applyFont="1" applyFill="1" applyBorder="1" applyAlignment="1">
      <alignment horizontal="right" indent="1"/>
    </xf>
    <xf numFmtId="164" fontId="2" fillId="2" borderId="1" xfId="0" applyNumberFormat="1" applyFont="1" applyFill="1" applyBorder="1" applyAlignment="1">
      <alignment horizontal="right" indent="1"/>
    </xf>
    <xf numFmtId="164" fontId="2" fillId="2" borderId="1" xfId="0" quotePrefix="1" applyNumberFormat="1" applyFont="1" applyFill="1" applyBorder="1" applyAlignment="1">
      <alignment horizontal="right" indent="1"/>
    </xf>
    <xf numFmtId="164" fontId="2" fillId="2" borderId="10" xfId="0" quotePrefix="1" applyNumberFormat="1" applyFont="1" applyFill="1" applyBorder="1" applyAlignment="1">
      <alignment horizontal="right" indent="1"/>
    </xf>
    <xf numFmtId="0" fontId="2" fillId="2" borderId="3" xfId="0" applyFont="1" applyFill="1" applyBorder="1"/>
    <xf numFmtId="0" fontId="2" fillId="2" borderId="0" xfId="0" applyFont="1" applyFill="1" applyAlignment="1">
      <alignment horizontal="left" indent="1"/>
    </xf>
    <xf numFmtId="0" fontId="2" fillId="2" borderId="0" xfId="0" applyFont="1" applyFill="1" applyBorder="1" applyAlignment="1">
      <alignment horizontal="left" indent="1"/>
    </xf>
    <xf numFmtId="0" fontId="2" fillId="2" borderId="0" xfId="0" applyFont="1" applyFill="1" applyAlignment="1">
      <alignment horizontal="right"/>
    </xf>
    <xf numFmtId="0" fontId="2" fillId="2" borderId="11" xfId="0" applyFont="1" applyFill="1" applyBorder="1" applyAlignment="1">
      <alignment horizontal="centerContinuous"/>
    </xf>
    <xf numFmtId="0" fontId="2" fillId="2" borderId="0" xfId="0" applyFont="1" applyFill="1" applyBorder="1" applyAlignment="1">
      <alignment horizontal="center"/>
    </xf>
    <xf numFmtId="0" fontId="2" fillId="2" borderId="1" xfId="0" applyFont="1" applyFill="1" applyBorder="1" applyAlignment="1"/>
    <xf numFmtId="3" fontId="3" fillId="2" borderId="1" xfId="0" applyNumberFormat="1" applyFont="1" applyFill="1" applyBorder="1" applyAlignment="1">
      <alignment horizontal="center"/>
    </xf>
    <xf numFmtId="0" fontId="2" fillId="2" borderId="12" xfId="0" applyFont="1" applyFill="1" applyBorder="1"/>
    <xf numFmtId="2" fontId="2" fillId="2" borderId="12" xfId="0" applyNumberFormat="1" applyFont="1" applyFill="1" applyBorder="1" applyAlignment="1">
      <alignment horizontal="center"/>
    </xf>
    <xf numFmtId="166" fontId="2" fillId="2" borderId="13" xfId="0" applyNumberFormat="1" applyFont="1" applyFill="1" applyBorder="1" applyAlignment="1">
      <alignment horizontal="center"/>
    </xf>
    <xf numFmtId="0" fontId="2" fillId="2" borderId="0" xfId="0" quotePrefix="1" applyFont="1" applyFill="1"/>
    <xf numFmtId="0" fontId="2" fillId="7" borderId="4" xfId="0" applyFont="1" applyFill="1" applyBorder="1"/>
    <xf numFmtId="0" fontId="2" fillId="7" borderId="6" xfId="0" applyFont="1" applyFill="1" applyBorder="1"/>
    <xf numFmtId="0" fontId="2" fillId="7" borderId="7" xfId="0" applyFont="1" applyFill="1" applyBorder="1"/>
    <xf numFmtId="0" fontId="4" fillId="3" borderId="0" xfId="1" applyFill="1" applyBorder="1" applyAlignment="1" applyProtection="1"/>
    <xf numFmtId="0" fontId="23" fillId="0" borderId="0" xfId="3" applyFont="1" applyProtection="1"/>
    <xf numFmtId="0" fontId="24" fillId="6" borderId="2" xfId="3" applyFont="1" applyFill="1" applyBorder="1" applyProtection="1"/>
    <xf numFmtId="0" fontId="24" fillId="6" borderId="3" xfId="3" applyFont="1" applyFill="1" applyBorder="1" applyProtection="1"/>
    <xf numFmtId="0" fontId="24" fillId="6" borderId="4" xfId="3" applyFont="1" applyFill="1" applyBorder="1" applyProtection="1"/>
    <xf numFmtId="0" fontId="25" fillId="6" borderId="5" xfId="3" applyFont="1" applyFill="1" applyBorder="1" applyAlignment="1" applyProtection="1"/>
    <xf numFmtId="0" fontId="26" fillId="6" borderId="0" xfId="3" applyFont="1" applyFill="1" applyAlignment="1" applyProtection="1"/>
    <xf numFmtId="0" fontId="27" fillId="6" borderId="0" xfId="3" applyFont="1" applyFill="1" applyBorder="1" applyProtection="1"/>
    <xf numFmtId="0" fontId="24" fillId="6" borderId="0" xfId="3" applyFont="1" applyFill="1" applyBorder="1" applyProtection="1"/>
    <xf numFmtId="0" fontId="24" fillId="6" borderId="6" xfId="3" applyFont="1" applyFill="1" applyBorder="1" applyProtection="1"/>
    <xf numFmtId="0" fontId="27" fillId="6" borderId="5" xfId="3" applyFont="1" applyFill="1" applyBorder="1" applyProtection="1"/>
    <xf numFmtId="0" fontId="28" fillId="6" borderId="0" xfId="3" applyFont="1" applyFill="1" applyBorder="1" applyAlignment="1" applyProtection="1">
      <alignment horizontal="left"/>
    </xf>
    <xf numFmtId="0" fontId="29" fillId="6" borderId="0" xfId="3" applyFont="1" applyFill="1" applyAlignment="1" applyProtection="1">
      <alignment horizontal="left"/>
    </xf>
    <xf numFmtId="0" fontId="30" fillId="6" borderId="0" xfId="3" applyFont="1" applyFill="1" applyAlignment="1" applyProtection="1"/>
    <xf numFmtId="0" fontId="24" fillId="6" borderId="5" xfId="3" applyFont="1" applyFill="1" applyBorder="1" applyAlignment="1" applyProtection="1">
      <alignment horizontal="center"/>
    </xf>
    <xf numFmtId="0" fontId="34" fillId="6" borderId="0" xfId="3" applyFont="1" applyFill="1" applyAlignment="1" applyProtection="1">
      <alignment wrapText="1"/>
    </xf>
    <xf numFmtId="0" fontId="35" fillId="6" borderId="0" xfId="3" applyFont="1" applyFill="1" applyBorder="1" applyProtection="1"/>
    <xf numFmtId="0" fontId="36" fillId="6" borderId="6" xfId="3" applyFont="1" applyFill="1" applyBorder="1" applyProtection="1"/>
    <xf numFmtId="0" fontId="24" fillId="6" borderId="9" xfId="3" applyFont="1" applyFill="1" applyBorder="1" applyProtection="1"/>
    <xf numFmtId="0" fontId="24" fillId="6" borderId="1" xfId="3" applyFont="1" applyFill="1" applyBorder="1" applyProtection="1"/>
    <xf numFmtId="0" fontId="35" fillId="6" borderId="1" xfId="3" applyFont="1" applyFill="1" applyBorder="1" applyProtection="1"/>
    <xf numFmtId="0" fontId="37" fillId="6" borderId="7" xfId="3" applyFont="1" applyFill="1" applyBorder="1" applyAlignment="1" applyProtection="1">
      <alignment horizontal="right"/>
    </xf>
    <xf numFmtId="0" fontId="39" fillId="0" borderId="0" xfId="3" applyFont="1" applyProtection="1"/>
    <xf numFmtId="0" fontId="39" fillId="0" borderId="0" xfId="3" applyFont="1" applyFill="1" applyBorder="1" applyProtection="1"/>
    <xf numFmtId="0" fontId="40" fillId="0" borderId="0" xfId="3" applyFont="1" applyAlignment="1" applyProtection="1"/>
    <xf numFmtId="0" fontId="41" fillId="0" borderId="0" xfId="3" applyFont="1" applyAlignment="1" applyProtection="1"/>
    <xf numFmtId="0" fontId="41" fillId="0" borderId="0" xfId="3" applyFont="1" applyProtection="1"/>
    <xf numFmtId="0" fontId="42" fillId="0" borderId="0" xfId="3" applyFont="1" applyProtection="1"/>
    <xf numFmtId="0" fontId="42" fillId="0" borderId="0" xfId="3" applyFont="1" applyFill="1" applyProtection="1"/>
    <xf numFmtId="0" fontId="41" fillId="0" borderId="0" xfId="3" applyFont="1" applyFill="1" applyProtection="1"/>
    <xf numFmtId="0" fontId="41" fillId="0" borderId="0" xfId="3" applyFont="1" applyAlignment="1" applyProtection="1">
      <alignment wrapText="1"/>
    </xf>
    <xf numFmtId="0" fontId="40" fillId="0" borderId="0" xfId="3" applyFont="1" applyProtection="1"/>
    <xf numFmtId="0" fontId="43" fillId="0" borderId="0" xfId="3" applyFont="1" applyProtection="1"/>
    <xf numFmtId="0" fontId="41" fillId="0" borderId="0" xfId="3" applyFont="1" applyAlignment="1" applyProtection="1">
      <alignment horizontal="center"/>
    </xf>
    <xf numFmtId="0" fontId="46" fillId="0" borderId="0" xfId="3" applyFont="1" applyProtection="1"/>
    <xf numFmtId="0" fontId="41" fillId="0" borderId="0" xfId="5" applyFont="1" applyFill="1" applyAlignment="1" applyProtection="1"/>
    <xf numFmtId="0" fontId="41" fillId="0" borderId="0" xfId="3" applyFont="1" applyFill="1" applyAlignment="1" applyProtection="1"/>
    <xf numFmtId="0" fontId="48" fillId="0" borderId="0" xfId="5" applyFont="1" applyAlignment="1" applyProtection="1"/>
    <xf numFmtId="0" fontId="48" fillId="0" borderId="0" xfId="4" applyFont="1" applyAlignment="1" applyProtection="1"/>
    <xf numFmtId="0" fontId="41" fillId="0" borderId="0" xfId="3" applyFont="1" applyAlignment="1" applyProtection="1"/>
    <xf numFmtId="0" fontId="48" fillId="0" borderId="0" xfId="5" applyFont="1" applyAlignment="1" applyProtection="1"/>
    <xf numFmtId="0" fontId="41" fillId="0" borderId="0" xfId="3" applyFont="1" applyAlignment="1" applyProtection="1">
      <alignment horizontal="left" wrapText="1"/>
    </xf>
    <xf numFmtId="0" fontId="42" fillId="0" borderId="0" xfId="3" applyFont="1" applyAlignment="1" applyProtection="1">
      <alignment horizontal="left" wrapText="1"/>
    </xf>
    <xf numFmtId="0" fontId="40" fillId="0" borderId="0" xfId="3" applyFont="1" applyAlignment="1" applyProtection="1"/>
    <xf numFmtId="0" fontId="41" fillId="0" borderId="0" xfId="3" applyFont="1" applyAlignment="1" applyProtection="1">
      <alignment horizontal="left" vertical="center" wrapText="1"/>
    </xf>
    <xf numFmtId="0" fontId="42" fillId="0" borderId="0" xfId="3" applyFont="1" applyAlignment="1" applyProtection="1">
      <alignment horizontal="left" vertical="center" wrapText="1"/>
    </xf>
    <xf numFmtId="0" fontId="44" fillId="2" borderId="0" xfId="4" applyFont="1" applyFill="1" applyAlignment="1" applyProtection="1">
      <alignment horizontal="center"/>
    </xf>
    <xf numFmtId="0" fontId="45" fillId="0" borderId="0" xfId="3" applyFont="1" applyAlignment="1">
      <alignment horizontal="center"/>
    </xf>
    <xf numFmtId="0" fontId="47" fillId="0" borderId="0" xfId="5" applyFont="1" applyAlignment="1" applyProtection="1"/>
    <xf numFmtId="0" fontId="27" fillId="6" borderId="5" xfId="3" applyFont="1" applyFill="1" applyBorder="1" applyAlignment="1" applyProtection="1">
      <alignment horizontal="left" wrapText="1"/>
    </xf>
    <xf numFmtId="0" fontId="31" fillId="6" borderId="0" xfId="3" applyFont="1" applyFill="1" applyAlignment="1" applyProtection="1">
      <alignment wrapText="1"/>
    </xf>
    <xf numFmtId="0" fontId="31" fillId="6" borderId="5" xfId="3" applyFont="1" applyFill="1" applyBorder="1" applyAlignment="1" applyProtection="1">
      <alignment wrapText="1"/>
    </xf>
    <xf numFmtId="0" fontId="32" fillId="0" borderId="0" xfId="3" applyFont="1" applyAlignment="1" applyProtection="1">
      <alignment wrapText="1"/>
    </xf>
    <xf numFmtId="0" fontId="33" fillId="0" borderId="0" xfId="3" applyFont="1" applyAlignment="1" applyProtection="1">
      <alignment wrapText="1"/>
    </xf>
    <xf numFmtId="0" fontId="37" fillId="6" borderId="1" xfId="3" applyFont="1" applyFill="1" applyBorder="1" applyAlignment="1" applyProtection="1">
      <alignment horizontal="right"/>
    </xf>
    <xf numFmtId="0" fontId="34" fillId="6" borderId="1" xfId="3" applyFont="1" applyFill="1" applyBorder="1" applyAlignment="1" applyProtection="1">
      <alignment horizontal="right"/>
    </xf>
    <xf numFmtId="14" fontId="37" fillId="6" borderId="1" xfId="3" applyNumberFormat="1" applyFont="1" applyFill="1" applyBorder="1" applyAlignment="1" applyProtection="1">
      <alignment horizontal="left"/>
    </xf>
    <xf numFmtId="0" fontId="34" fillId="6" borderId="1" xfId="3" applyFont="1" applyFill="1" applyBorder="1" applyAlignment="1" applyProtection="1">
      <alignment horizontal="left"/>
    </xf>
    <xf numFmtId="0" fontId="38" fillId="0" borderId="0" xfId="3" applyFont="1" applyProtection="1"/>
    <xf numFmtId="0" fontId="41" fillId="0" borderId="0" xfId="3" applyFont="1" applyAlignment="1" applyProtection="1">
      <alignment horizontal="left" vertical="top" wrapText="1"/>
    </xf>
    <xf numFmtId="0" fontId="2" fillId="2" borderId="0" xfId="0" applyFont="1" applyFill="1" applyAlignment="1"/>
    <xf numFmtId="0" fontId="4" fillId="3" borderId="5" xfId="1" applyFill="1" applyBorder="1" applyAlignment="1" applyProtection="1">
      <alignment horizontal="left"/>
    </xf>
    <xf numFmtId="0" fontId="4" fillId="3" borderId="0" xfId="1" applyFill="1" applyBorder="1" applyAlignment="1" applyProtection="1">
      <alignment horizontal="left"/>
    </xf>
    <xf numFmtId="0" fontId="4" fillId="3" borderId="9" xfId="1" applyFill="1" applyBorder="1" applyAlignment="1" applyProtection="1">
      <alignment horizontal="left"/>
    </xf>
    <xf numFmtId="0" fontId="4" fillId="3" borderId="1" xfId="1" applyFill="1" applyBorder="1" applyAlignment="1" applyProtection="1">
      <alignment horizontal="left"/>
    </xf>
    <xf numFmtId="0" fontId="4" fillId="3" borderId="5" xfId="1" applyFill="1" applyBorder="1" applyAlignment="1" applyProtection="1">
      <alignment horizontal="left"/>
      <protection locked="0"/>
    </xf>
    <xf numFmtId="0" fontId="4" fillId="3" borderId="0" xfId="1" applyFill="1" applyBorder="1" applyAlignment="1" applyProtection="1">
      <alignment horizontal="left"/>
      <protection locked="0"/>
    </xf>
    <xf numFmtId="0" fontId="4" fillId="3" borderId="6" xfId="1" applyFill="1" applyBorder="1" applyAlignment="1" applyProtection="1">
      <alignment horizontal="left"/>
      <protection locked="0"/>
    </xf>
    <xf numFmtId="0" fontId="2" fillId="2" borderId="0" xfId="0" applyFont="1" applyFill="1" applyAlignment="1">
      <alignment horizontal="center"/>
    </xf>
    <xf numFmtId="0" fontId="20" fillId="5" borderId="0" xfId="0" applyFont="1" applyFill="1" applyAlignment="1">
      <alignment horizontal="center"/>
    </xf>
    <xf numFmtId="0" fontId="8" fillId="5" borderId="0" xfId="0" applyFont="1" applyFill="1" applyAlignment="1">
      <alignment horizontal="center"/>
    </xf>
    <xf numFmtId="0" fontId="21" fillId="5" borderId="0" xfId="1" applyFont="1" applyFill="1" applyAlignment="1" applyProtection="1">
      <alignment horizontal="center"/>
    </xf>
    <xf numFmtId="0" fontId="22" fillId="5" borderId="0" xfId="1" applyFont="1" applyFill="1" applyBorder="1" applyAlignment="1" applyProtection="1">
      <alignment horizontal="center"/>
    </xf>
    <xf numFmtId="0" fontId="8" fillId="5" borderId="0" xfId="0" applyFont="1" applyFill="1" applyBorder="1" applyAlignment="1">
      <alignment horizontal="center"/>
    </xf>
    <xf numFmtId="0" fontId="4" fillId="5" borderId="0" xfId="1" applyFill="1" applyAlignment="1" applyProtection="1">
      <alignment horizontal="right"/>
    </xf>
    <xf numFmtId="0" fontId="4" fillId="5" borderId="0" xfId="1" applyFill="1" applyBorder="1" applyAlignment="1" applyProtection="1">
      <alignment horizontal="right"/>
    </xf>
    <xf numFmtId="0" fontId="9" fillId="5" borderId="0" xfId="1" applyFont="1" applyFill="1" applyBorder="1" applyAlignment="1" applyProtection="1">
      <alignment horizontal="right"/>
    </xf>
  </cellXfs>
  <cellStyles count="6">
    <cellStyle name="Hyperlink" xfId="1" builtinId="8"/>
    <cellStyle name="Hyperlink 2" xfId="4"/>
    <cellStyle name="Hyperlink_K-State Vegetative Buffer" xfId="5"/>
    <cellStyle name="Normal" xfId="0" builtinId="0"/>
    <cellStyle name="Normal 2" xfId="3"/>
    <cellStyle name="Percent" xfId="2" builtinId="5"/>
  </cellStyles>
  <dxfs count="9">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
      <font>
        <b/>
        <i val="0"/>
        <condense val="0"/>
        <extend val="0"/>
      </font>
      <fill>
        <patternFill>
          <bgColor indexed="4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Comparison of Alternative Expected Net Selling Prices</a:t>
            </a:r>
          </a:p>
        </c:rich>
      </c:tx>
      <c:layout>
        <c:manualLayout>
          <c:xMode val="edge"/>
          <c:yMode val="edge"/>
          <c:x val="0.18168103448275863"/>
          <c:y val="2.6086894366962304E-2"/>
        </c:manualLayout>
      </c:layout>
      <c:overlay val="0"/>
      <c:spPr>
        <a:noFill/>
        <a:ln w="25400">
          <a:noFill/>
        </a:ln>
      </c:spPr>
    </c:title>
    <c:autoTitleDeleted val="0"/>
    <c:plotArea>
      <c:layout>
        <c:manualLayout>
          <c:layoutTarget val="inner"/>
          <c:xMode val="edge"/>
          <c:yMode val="edge"/>
          <c:x val="0.10845597970040687"/>
          <c:y val="0.12359550561797752"/>
          <c:w val="0.85845665288288153"/>
          <c:h val="0.702247191011236"/>
        </c:manualLayout>
      </c:layout>
      <c:lineChart>
        <c:grouping val="standard"/>
        <c:varyColors val="0"/>
        <c:ser>
          <c:idx val="0"/>
          <c:order val="0"/>
          <c:tx>
            <c:strRef>
              <c:f>Comparison!$K$23</c:f>
              <c:strCache>
                <c:ptCount val="1"/>
                <c:pt idx="0">
                  <c:v>Cash</c:v>
                </c:pt>
              </c:strCache>
            </c:strRef>
          </c:tx>
          <c:spPr>
            <a:ln w="25400">
              <a:solidFill>
                <a:srgbClr val="008000"/>
              </a:solidFill>
              <a:prstDash val="solid"/>
            </a:ln>
          </c:spPr>
          <c:marker>
            <c:symbol val="diamond"/>
            <c:size val="5"/>
            <c:spPr>
              <a:solidFill>
                <a:srgbClr val="008000"/>
              </a:solidFill>
              <a:ln>
                <a:solidFill>
                  <a:srgbClr val="008000"/>
                </a:solidFill>
                <a:prstDash val="solid"/>
              </a:ln>
            </c:spPr>
          </c:marker>
          <c:cat>
            <c:numRef>
              <c:f>Comparison!$J$12:$J$20</c:f>
              <c:numCache>
                <c:formatCode>"$"#,##0.00</c:formatCode>
                <c:ptCount val="9"/>
                <c:pt idx="0">
                  <c:v>110</c:v>
                </c:pt>
                <c:pt idx="1">
                  <c:v>115</c:v>
                </c:pt>
                <c:pt idx="2">
                  <c:v>120</c:v>
                </c:pt>
                <c:pt idx="3">
                  <c:v>125</c:v>
                </c:pt>
                <c:pt idx="4">
                  <c:v>130</c:v>
                </c:pt>
                <c:pt idx="5">
                  <c:v>135</c:v>
                </c:pt>
                <c:pt idx="6">
                  <c:v>140</c:v>
                </c:pt>
                <c:pt idx="7">
                  <c:v>145</c:v>
                </c:pt>
                <c:pt idx="8">
                  <c:v>150</c:v>
                </c:pt>
              </c:numCache>
            </c:numRef>
          </c:cat>
          <c:val>
            <c:numRef>
              <c:f>Comparison!$K$12:$K$20</c:f>
              <c:numCache>
                <c:formatCode>"$"#,##0.00</c:formatCode>
                <c:ptCount val="9"/>
                <c:pt idx="0">
                  <c:v>122.83</c:v>
                </c:pt>
                <c:pt idx="1">
                  <c:v>127.83</c:v>
                </c:pt>
                <c:pt idx="2">
                  <c:v>132.83000000000001</c:v>
                </c:pt>
                <c:pt idx="3">
                  <c:v>137.83000000000001</c:v>
                </c:pt>
                <c:pt idx="4">
                  <c:v>142.83000000000001</c:v>
                </c:pt>
                <c:pt idx="5">
                  <c:v>147.83000000000001</c:v>
                </c:pt>
                <c:pt idx="6">
                  <c:v>152.83000000000001</c:v>
                </c:pt>
                <c:pt idx="7">
                  <c:v>157.83000000000001</c:v>
                </c:pt>
                <c:pt idx="8">
                  <c:v>162.83000000000001</c:v>
                </c:pt>
              </c:numCache>
            </c:numRef>
          </c:val>
          <c:smooth val="0"/>
          <c:extLst>
            <c:ext xmlns:c16="http://schemas.microsoft.com/office/drawing/2014/chart" uri="{C3380CC4-5D6E-409C-BE32-E72D297353CC}">
              <c16:uniqueId val="{00000000-E6B5-4E20-B6B7-E9DF88A7FA5A}"/>
            </c:ext>
          </c:extLst>
        </c:ser>
        <c:ser>
          <c:idx val="1"/>
          <c:order val="1"/>
          <c:tx>
            <c:strRef>
              <c:f>Comparison!$L$23</c:f>
              <c:strCache>
                <c:ptCount val="1"/>
                <c:pt idx="0">
                  <c:v>Futures Hedge</c:v>
                </c:pt>
              </c:strCache>
            </c:strRef>
          </c:tx>
          <c:spPr>
            <a:ln w="25400">
              <a:solidFill>
                <a:srgbClr val="FF0000"/>
              </a:solidFill>
              <a:prstDash val="solid"/>
            </a:ln>
          </c:spPr>
          <c:marker>
            <c:symbol val="square"/>
            <c:size val="5"/>
            <c:spPr>
              <a:solidFill>
                <a:srgbClr val="FF0000"/>
              </a:solidFill>
              <a:ln>
                <a:solidFill>
                  <a:srgbClr val="FF0000"/>
                </a:solidFill>
                <a:prstDash val="solid"/>
              </a:ln>
            </c:spPr>
          </c:marker>
          <c:val>
            <c:numRef>
              <c:f>Comparison!$L$12:$L$20</c:f>
              <c:numCache>
                <c:formatCode>"$"#,##0.00</c:formatCode>
                <c:ptCount val="9"/>
                <c:pt idx="0">
                  <c:v>149.10780523974293</c:v>
                </c:pt>
                <c:pt idx="1">
                  <c:v>149.16465150766186</c:v>
                </c:pt>
                <c:pt idx="2">
                  <c:v>149.22149777558081</c:v>
                </c:pt>
                <c:pt idx="3">
                  <c:v>149.27834404349974</c:v>
                </c:pt>
                <c:pt idx="4">
                  <c:v>149.3351903114187</c:v>
                </c:pt>
                <c:pt idx="5">
                  <c:v>149.39203657933763</c:v>
                </c:pt>
                <c:pt idx="6">
                  <c:v>149.44888284725658</c:v>
                </c:pt>
                <c:pt idx="7">
                  <c:v>149.50572911517551</c:v>
                </c:pt>
                <c:pt idx="8">
                  <c:v>149.56257538309444</c:v>
                </c:pt>
              </c:numCache>
            </c:numRef>
          </c:val>
          <c:smooth val="0"/>
          <c:extLst>
            <c:ext xmlns:c16="http://schemas.microsoft.com/office/drawing/2014/chart" uri="{C3380CC4-5D6E-409C-BE32-E72D297353CC}">
              <c16:uniqueId val="{00000001-E6B5-4E20-B6B7-E9DF88A7FA5A}"/>
            </c:ext>
          </c:extLst>
        </c:ser>
        <c:ser>
          <c:idx val="2"/>
          <c:order val="2"/>
          <c:tx>
            <c:strRef>
              <c:f>Comparison!$M$23</c:f>
              <c:strCache>
                <c:ptCount val="1"/>
                <c:pt idx="0">
                  <c:v>LRP, ($141)</c:v>
                </c:pt>
              </c:strCache>
            </c:strRef>
          </c:tx>
          <c:spPr>
            <a:ln w="25400">
              <a:solidFill>
                <a:srgbClr val="3366FF"/>
              </a:solidFill>
              <a:prstDash val="solid"/>
            </a:ln>
          </c:spPr>
          <c:marker>
            <c:symbol val="triangle"/>
            <c:size val="5"/>
            <c:spPr>
              <a:solidFill>
                <a:srgbClr val="3366FF"/>
              </a:solidFill>
              <a:ln>
                <a:solidFill>
                  <a:srgbClr val="3366FF"/>
                </a:solidFill>
                <a:prstDash val="solid"/>
              </a:ln>
            </c:spPr>
          </c:marker>
          <c:val>
            <c:numRef>
              <c:f>Comparison!$M$12:$M$20</c:f>
              <c:numCache>
                <c:formatCode>"$"#,##0.00</c:formatCode>
                <c:ptCount val="9"/>
                <c:pt idx="0">
                  <c:v>138.53399999999999</c:v>
                </c:pt>
                <c:pt idx="1">
                  <c:v>138.03400000000002</c:v>
                </c:pt>
                <c:pt idx="2">
                  <c:v>137.53400000000002</c:v>
                </c:pt>
                <c:pt idx="3">
                  <c:v>137.03400000000002</c:v>
                </c:pt>
                <c:pt idx="4">
                  <c:v>138.73400000000004</c:v>
                </c:pt>
                <c:pt idx="5">
                  <c:v>143.73400000000004</c:v>
                </c:pt>
                <c:pt idx="6">
                  <c:v>148.73400000000001</c:v>
                </c:pt>
                <c:pt idx="7">
                  <c:v>153.73400000000001</c:v>
                </c:pt>
                <c:pt idx="8">
                  <c:v>158.73400000000001</c:v>
                </c:pt>
              </c:numCache>
            </c:numRef>
          </c:val>
          <c:smooth val="0"/>
          <c:extLst>
            <c:ext xmlns:c16="http://schemas.microsoft.com/office/drawing/2014/chart" uri="{C3380CC4-5D6E-409C-BE32-E72D297353CC}">
              <c16:uniqueId val="{00000002-E6B5-4E20-B6B7-E9DF88A7FA5A}"/>
            </c:ext>
          </c:extLst>
        </c:ser>
        <c:ser>
          <c:idx val="3"/>
          <c:order val="3"/>
          <c:tx>
            <c:strRef>
              <c:f>Comparison!$N$23</c:f>
              <c:strCache>
                <c:ptCount val="1"/>
                <c:pt idx="0">
                  <c:v>Put, ($134)</c:v>
                </c:pt>
              </c:strCache>
            </c:strRef>
          </c:tx>
          <c:spPr>
            <a:ln w="25400">
              <a:solidFill>
                <a:srgbClr val="FF00FF"/>
              </a:solidFill>
              <a:prstDash val="solid"/>
            </a:ln>
          </c:spPr>
          <c:marker>
            <c:symbol val="x"/>
            <c:size val="5"/>
            <c:spPr>
              <a:noFill/>
              <a:ln>
                <a:solidFill>
                  <a:srgbClr val="FF00FF"/>
                </a:solidFill>
                <a:prstDash val="solid"/>
              </a:ln>
            </c:spPr>
          </c:marker>
          <c:val>
            <c:numRef>
              <c:f>Comparison!$N$12:$N$20</c:f>
              <c:numCache>
                <c:formatCode>"$"#,##0.00</c:formatCode>
                <c:ptCount val="9"/>
                <c:pt idx="0">
                  <c:v>141.29762234305485</c:v>
                </c:pt>
                <c:pt idx="1">
                  <c:v>141.35446861097378</c:v>
                </c:pt>
                <c:pt idx="2">
                  <c:v>141.41131487889274</c:v>
                </c:pt>
                <c:pt idx="3">
                  <c:v>141.4681611468117</c:v>
                </c:pt>
                <c:pt idx="4">
                  <c:v>141.52500741473062</c:v>
                </c:pt>
                <c:pt idx="5">
                  <c:v>142.62980227385074</c:v>
                </c:pt>
                <c:pt idx="6">
                  <c:v>147.62980227385071</c:v>
                </c:pt>
                <c:pt idx="7">
                  <c:v>152.62980227385071</c:v>
                </c:pt>
                <c:pt idx="8">
                  <c:v>157.62980227385071</c:v>
                </c:pt>
              </c:numCache>
            </c:numRef>
          </c:val>
          <c:smooth val="0"/>
          <c:extLst>
            <c:ext xmlns:c16="http://schemas.microsoft.com/office/drawing/2014/chart" uri="{C3380CC4-5D6E-409C-BE32-E72D297353CC}">
              <c16:uniqueId val="{00000003-E6B5-4E20-B6B7-E9DF88A7FA5A}"/>
            </c:ext>
          </c:extLst>
        </c:ser>
        <c:ser>
          <c:idx val="4"/>
          <c:order val="4"/>
          <c:tx>
            <c:strRef>
              <c:f>Comparison!$O$23</c:f>
              <c:strCache>
                <c:ptCount val="1"/>
                <c:pt idx="0">
                  <c:v>Hedge &amp; Call, ($142)</c:v>
                </c:pt>
              </c:strCache>
            </c:strRef>
          </c:tx>
          <c:spPr>
            <a:ln w="25400">
              <a:solidFill>
                <a:srgbClr val="800080"/>
              </a:solidFill>
              <a:prstDash val="solid"/>
            </a:ln>
          </c:spPr>
          <c:marker>
            <c:symbol val="star"/>
            <c:size val="5"/>
            <c:spPr>
              <a:noFill/>
              <a:ln>
                <a:solidFill>
                  <a:srgbClr val="800080"/>
                </a:solidFill>
                <a:prstDash val="solid"/>
              </a:ln>
            </c:spPr>
          </c:marker>
          <c:val>
            <c:numRef>
              <c:f>Comparison!$O$12:$O$20</c:f>
              <c:numCache>
                <c:formatCode>"$"#,##0.00</c:formatCode>
                <c:ptCount val="9"/>
                <c:pt idx="0">
                  <c:v>145.29169055857636</c:v>
                </c:pt>
                <c:pt idx="1">
                  <c:v>145.34853682649529</c:v>
                </c:pt>
                <c:pt idx="2">
                  <c:v>145.40538309441425</c:v>
                </c:pt>
                <c:pt idx="3">
                  <c:v>145.46222936233318</c:v>
                </c:pt>
                <c:pt idx="4">
                  <c:v>145.5190756302521</c:v>
                </c:pt>
                <c:pt idx="5">
                  <c:v>145.57592189817106</c:v>
                </c:pt>
                <c:pt idx="6">
                  <c:v>145.63276816608999</c:v>
                </c:pt>
                <c:pt idx="7">
                  <c:v>148.59618882847258</c:v>
                </c:pt>
                <c:pt idx="8">
                  <c:v>153.59618882847258</c:v>
                </c:pt>
              </c:numCache>
            </c:numRef>
          </c:val>
          <c:smooth val="0"/>
          <c:extLst>
            <c:ext xmlns:c16="http://schemas.microsoft.com/office/drawing/2014/chart" uri="{C3380CC4-5D6E-409C-BE32-E72D297353CC}">
              <c16:uniqueId val="{00000004-E6B5-4E20-B6B7-E9DF88A7FA5A}"/>
            </c:ext>
          </c:extLst>
        </c:ser>
        <c:ser>
          <c:idx val="5"/>
          <c:order val="5"/>
          <c:tx>
            <c:strRef>
              <c:f>Comparison!$P$23</c:f>
              <c:strCache>
                <c:ptCount val="1"/>
                <c:pt idx="0">
                  <c:v>Put &amp; Call, ($140/$140)</c:v>
                </c:pt>
              </c:strCache>
            </c:strRef>
          </c:tx>
          <c:spPr>
            <a:ln w="25400">
              <a:solidFill>
                <a:srgbClr val="000080"/>
              </a:solidFill>
              <a:prstDash val="solid"/>
            </a:ln>
          </c:spPr>
          <c:marker>
            <c:symbol val="circle"/>
            <c:size val="5"/>
            <c:spPr>
              <a:solidFill>
                <a:srgbClr val="000080"/>
              </a:solidFill>
              <a:ln>
                <a:solidFill>
                  <a:srgbClr val="000080"/>
                </a:solidFill>
                <a:prstDash val="solid"/>
              </a:ln>
            </c:spPr>
          </c:marker>
          <c:val>
            <c:numRef>
              <c:f>Comparison!$P$12:$P$20</c:f>
              <c:numCache>
                <c:formatCode>"$"#,##0.00</c:formatCode>
                <c:ptCount val="9"/>
                <c:pt idx="0">
                  <c:v>149.04848739495799</c:v>
                </c:pt>
                <c:pt idx="1">
                  <c:v>149.10533366287692</c:v>
                </c:pt>
                <c:pt idx="2">
                  <c:v>149.16217993079584</c:v>
                </c:pt>
                <c:pt idx="3">
                  <c:v>149.2190261987148</c:v>
                </c:pt>
                <c:pt idx="4">
                  <c:v>149.27587246663373</c:v>
                </c:pt>
                <c:pt idx="5">
                  <c:v>149.33271873455266</c:v>
                </c:pt>
                <c:pt idx="6">
                  <c:v>149.44888284725658</c:v>
                </c:pt>
                <c:pt idx="7">
                  <c:v>149.44641127039051</c:v>
                </c:pt>
                <c:pt idx="8">
                  <c:v>149.50325753830947</c:v>
                </c:pt>
              </c:numCache>
            </c:numRef>
          </c:val>
          <c:smooth val="0"/>
          <c:extLst>
            <c:ext xmlns:c16="http://schemas.microsoft.com/office/drawing/2014/chart" uri="{C3380CC4-5D6E-409C-BE32-E72D297353CC}">
              <c16:uniqueId val="{00000005-E6B5-4E20-B6B7-E9DF88A7FA5A}"/>
            </c:ext>
          </c:extLst>
        </c:ser>
        <c:dLbls>
          <c:showLegendKey val="0"/>
          <c:showVal val="0"/>
          <c:showCatName val="0"/>
          <c:showSerName val="0"/>
          <c:showPercent val="0"/>
          <c:showBubbleSize val="0"/>
        </c:dLbls>
        <c:marker val="1"/>
        <c:smooth val="0"/>
        <c:axId val="209591296"/>
        <c:axId val="209602048"/>
      </c:lineChart>
      <c:catAx>
        <c:axId val="20959129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Ending Futures Price, $/cwt</a:t>
                </a:r>
              </a:p>
            </c:rich>
          </c:tx>
          <c:layout>
            <c:manualLayout>
              <c:xMode val="edge"/>
              <c:yMode val="edge"/>
              <c:x val="0.37643772437928014"/>
              <c:y val="0.91304530561130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602048"/>
        <c:crosses val="autoZero"/>
        <c:auto val="1"/>
        <c:lblAlgn val="ctr"/>
        <c:lblOffset val="100"/>
        <c:tickLblSkip val="1"/>
        <c:tickMarkSkip val="1"/>
        <c:noMultiLvlLbl val="0"/>
      </c:catAx>
      <c:valAx>
        <c:axId val="209602048"/>
        <c:scaling>
          <c:orientation val="minMax"/>
          <c:max val="170"/>
          <c:min val="11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Expected Net Selling Price, $/cwt</a:t>
                </a:r>
              </a:p>
            </c:rich>
          </c:tx>
          <c:layout>
            <c:manualLayout>
              <c:xMode val="edge"/>
              <c:yMode val="edge"/>
              <c:x val="1.0057471264367816E-2"/>
              <c:y val="0.276087466190909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209591296"/>
        <c:crosses val="autoZero"/>
        <c:crossBetween val="between"/>
        <c:minorUnit val="5"/>
      </c:valAx>
      <c:spPr>
        <a:solidFill>
          <a:srgbClr val="FFFFFF"/>
        </a:solidFill>
        <a:ln w="25400">
          <a:solidFill>
            <a:srgbClr val="000000"/>
          </a:solidFill>
          <a:prstDash val="solid"/>
        </a:ln>
      </c:spPr>
    </c:plotArea>
    <c:legend>
      <c:legendPos val="r"/>
      <c:layout>
        <c:manualLayout>
          <c:xMode val="edge"/>
          <c:yMode val="edge"/>
          <c:x val="0.49125459317585302"/>
          <c:y val="0.64138576779026213"/>
          <c:w val="0.47045894818703216"/>
          <c:h val="0.17415730337078653"/>
        </c:manualLayout>
      </c:layout>
      <c:overlay val="0"/>
      <c:spPr>
        <a:solidFill>
          <a:srgbClr val="FFFFFF"/>
        </a:solidFill>
        <a:ln w="3175">
          <a:solidFill>
            <a:srgbClr val="000000"/>
          </a:solidFill>
          <a:prstDash val="solid"/>
        </a:ln>
      </c:spPr>
      <c:txPr>
        <a:bodyPr/>
        <a:lstStyle/>
        <a:p>
          <a:pPr>
            <a:defRPr sz="75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8100">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image" Target="../media/image4.png"/><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http://www.rma.usda.gov/" TargetMode="External"/><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http://www.AgManager.info"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56</xdr:row>
      <xdr:rowOff>115534</xdr:rowOff>
    </xdr:from>
    <xdr:to>
      <xdr:col>5</xdr:col>
      <xdr:colOff>352012</xdr:colOff>
      <xdr:row>60</xdr:row>
      <xdr:rowOff>82826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10821634"/>
          <a:ext cx="2843005" cy="614992"/>
        </a:xfrm>
        <a:prstGeom prst="rect">
          <a:avLst/>
        </a:prstGeom>
      </xdr:spPr>
    </xdr:pic>
    <xdr:clientData/>
  </xdr:twoCellAnchor>
  <xdr:twoCellAnchor editAs="oneCell">
    <xdr:from>
      <xdr:col>1</xdr:col>
      <xdr:colOff>0</xdr:colOff>
      <xdr:row>8</xdr:row>
      <xdr:rowOff>10353</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2045" b="20829"/>
        <a:stretch/>
      </xdr:blipFill>
      <xdr:spPr>
        <a:xfrm>
          <a:off x="238125" y="1439103"/>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twoCellAnchor editAs="oneCell">
    <xdr:from>
      <xdr:col>11</xdr:col>
      <xdr:colOff>517663</xdr:colOff>
      <xdr:row>55</xdr:row>
      <xdr:rowOff>186359</xdr:rowOff>
    </xdr:from>
    <xdr:to>
      <xdr:col>13</xdr:col>
      <xdr:colOff>100108</xdr:colOff>
      <xdr:row>59</xdr:row>
      <xdr:rowOff>146859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6842263" y="10682909"/>
          <a:ext cx="1382670" cy="65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304800</xdr:colOff>
      <xdr:row>21</xdr:row>
      <xdr:rowOff>95250</xdr:rowOff>
    </xdr:from>
    <xdr:to>
      <xdr:col>16</xdr:col>
      <xdr:colOff>638175</xdr:colOff>
      <xdr:row>42</xdr:row>
      <xdr:rowOff>47625</xdr:rowOff>
    </xdr:to>
    <xdr:graphicFrame macro="">
      <xdr:nvGraphicFramePr>
        <xdr:cNvPr id="1174" name="Chart 1">
          <a:extLst>
            <a:ext uri="{FF2B5EF4-FFF2-40B4-BE49-F238E27FC236}">
              <a16:creationId xmlns:a16="http://schemas.microsoft.com/office/drawing/2014/main" id="{00000000-0008-0000-0100-00009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95250</xdr:colOff>
          <xdr:row>0</xdr:row>
          <xdr:rowOff>95250</xdr:rowOff>
        </xdr:from>
        <xdr:to>
          <xdr:col>16</xdr:col>
          <xdr:colOff>466725</xdr:colOff>
          <xdr:row>1</xdr:row>
          <xdr:rowOff>142875</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editAs="oneCell">
    <xdr:from>
      <xdr:col>14</xdr:col>
      <xdr:colOff>619125</xdr:colOff>
      <xdr:row>43</xdr:row>
      <xdr:rowOff>142875</xdr:rowOff>
    </xdr:from>
    <xdr:to>
      <xdr:col>16</xdr:col>
      <xdr:colOff>390525</xdr:colOff>
      <xdr:row>47</xdr:row>
      <xdr:rowOff>133350</xdr:rowOff>
    </xdr:to>
    <xdr:pic>
      <xdr:nvPicPr>
        <xdr:cNvPr id="1176" name="Picture 8" descr="RMA.jpg">
          <a:hlinkClick xmlns:r="http://schemas.openxmlformats.org/officeDocument/2006/relationships" r:id="rId2"/>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15475" y="7248525"/>
          <a:ext cx="13335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704850</xdr:colOff>
      <xdr:row>43</xdr:row>
      <xdr:rowOff>28576</xdr:rowOff>
    </xdr:from>
    <xdr:to>
      <xdr:col>14</xdr:col>
      <xdr:colOff>67956</xdr:colOff>
      <xdr:row>47</xdr:row>
      <xdr:rowOff>161926</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34500" y="7134226"/>
          <a:ext cx="107760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12</xdr:col>
      <xdr:colOff>657225</xdr:colOff>
      <xdr:row>45</xdr:row>
      <xdr:rowOff>76200</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723900"/>
          <a:ext cx="749617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12</xdr:col>
      <xdr:colOff>581025</xdr:colOff>
      <xdr:row>98</xdr:row>
      <xdr:rowOff>82494</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8220075"/>
          <a:ext cx="7419975" cy="78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161924</xdr:rowOff>
    </xdr:from>
    <xdr:to>
      <xdr:col>12</xdr:col>
      <xdr:colOff>619125</xdr:colOff>
      <xdr:row>145</xdr:row>
      <xdr:rowOff>103590</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16154399"/>
          <a:ext cx="7458075" cy="7552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561975</xdr:colOff>
      <xdr:row>39</xdr:row>
      <xdr:rowOff>155267</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23850"/>
          <a:ext cx="6791325" cy="614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20</xdr:col>
      <xdr:colOff>581025</xdr:colOff>
      <xdr:row>50</xdr:row>
      <xdr:rowOff>123825</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6638925"/>
          <a:ext cx="1229677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20</xdr:col>
      <xdr:colOff>238125</xdr:colOff>
      <xdr:row>84</xdr:row>
      <xdr:rowOff>95250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8582025"/>
          <a:ext cx="11953875" cy="511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xdr:row>
      <xdr:rowOff>0</xdr:rowOff>
    </xdr:from>
    <xdr:to>
      <xdr:col>20</xdr:col>
      <xdr:colOff>314325</xdr:colOff>
      <xdr:row>106</xdr:row>
      <xdr:rowOff>76200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7675" y="13925550"/>
          <a:ext cx="12030075" cy="331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gmanager.info/livestock/marketing/bulletins_2/price_risk/default.asp" TargetMode="External"/><Relationship Id="rId2" Type="http://schemas.openxmlformats.org/officeDocument/2006/relationships/hyperlink" Target="http://www.agmanager.info/livestock/marketing/LRP/default.asp" TargetMode="External"/><Relationship Id="rId1" Type="http://schemas.openxmlformats.org/officeDocument/2006/relationships/hyperlink" Target="mailto:gtonsor@k-state.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www.beefbasis.com/" TargetMode="External"/><Relationship Id="rId7" Type="http://schemas.openxmlformats.org/officeDocument/2006/relationships/vmlDrawing" Target="../drawings/vmlDrawing1.vml"/><Relationship Id="rId2" Type="http://schemas.openxmlformats.org/officeDocument/2006/relationships/hyperlink" Target="http://www.agmanager.info/livestock/marketing/graphs/" TargetMode="External"/><Relationship Id="rId1" Type="http://schemas.openxmlformats.org/officeDocument/2006/relationships/hyperlink" Target="http://www.cmegroup.com/trading/agricultural/livestock/feeder-cattle_quotes_globex_options.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public.rma.usda.gov/livestockreports/main.aspx"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cmegroup.com/trading/agricultural/livestock/feeder-cattle.html" TargetMode="External"/><Relationship Id="rId1" Type="http://schemas.openxmlformats.org/officeDocument/2006/relationships/hyperlink" Target="http://www.cmegroup.com/trading/agricultural/livestock/feeder-cattle_quotes_globex_option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public.rma.usda.gov/livestockreports/main.aspx" TargetMode="External"/><Relationship Id="rId1" Type="http://schemas.openxmlformats.org/officeDocument/2006/relationships/hyperlink" Target="https://public.rma.usda.gov/livestockreports/main.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X56"/>
  <sheetViews>
    <sheetView showGridLines="0" tabSelected="1" zoomScale="92" zoomScaleNormal="100" workbookViewId="0">
      <selection activeCell="O21" sqref="O21"/>
    </sheetView>
  </sheetViews>
  <sheetFormatPr defaultRowHeight="12.75" x14ac:dyDescent="0.2"/>
  <cols>
    <col min="1" max="1" width="3.5703125" style="89" customWidth="1"/>
    <col min="2" max="4" width="9.140625" style="89"/>
    <col min="5" max="5" width="9" style="89" customWidth="1"/>
    <col min="6" max="11" width="9.140625" style="89"/>
    <col min="12" max="12" width="23.28515625" style="89" customWidth="1"/>
    <col min="13" max="13" width="3.7109375" style="89" customWidth="1"/>
    <col min="14" max="16384" width="9.140625" style="89"/>
  </cols>
  <sheetData>
    <row r="1" spans="2:24" ht="10.5" customHeight="1" thickBot="1" x14ac:dyDescent="0.25"/>
    <row r="2" spans="2:24" ht="7.5" customHeight="1" x14ac:dyDescent="0.25">
      <c r="B2" s="90"/>
      <c r="C2" s="91"/>
      <c r="D2" s="91"/>
      <c r="E2" s="91"/>
      <c r="F2" s="91"/>
      <c r="G2" s="91"/>
      <c r="H2" s="91"/>
      <c r="I2" s="91"/>
      <c r="J2" s="91"/>
      <c r="K2" s="91"/>
      <c r="L2" s="92"/>
    </row>
    <row r="3" spans="2:24" ht="26.25" x14ac:dyDescent="0.4">
      <c r="B3" s="93" t="s">
        <v>68</v>
      </c>
      <c r="C3" s="94"/>
      <c r="D3" s="94"/>
      <c r="E3" s="94"/>
      <c r="F3" s="94"/>
      <c r="G3" s="94"/>
      <c r="H3" s="95"/>
      <c r="I3" s="95"/>
      <c r="J3" s="96"/>
      <c r="K3" s="96"/>
      <c r="L3" s="97"/>
    </row>
    <row r="4" spans="2:24" ht="18" customHeight="1" x14ac:dyDescent="0.3">
      <c r="B4" s="98"/>
      <c r="C4" s="99"/>
      <c r="D4" s="100"/>
      <c r="E4" s="100"/>
      <c r="F4" s="101"/>
      <c r="G4" s="101"/>
      <c r="H4" s="95"/>
      <c r="I4" s="95"/>
      <c r="J4" s="96"/>
      <c r="K4" s="96"/>
      <c r="L4" s="97"/>
    </row>
    <row r="5" spans="2:24" ht="15.75" customHeight="1" x14ac:dyDescent="0.25">
      <c r="B5" s="137" t="s">
        <v>69</v>
      </c>
      <c r="C5" s="138"/>
      <c r="D5" s="138"/>
      <c r="E5" s="138"/>
      <c r="F5" s="138"/>
      <c r="G5" s="138"/>
      <c r="H5" s="138"/>
      <c r="I5" s="138"/>
      <c r="J5" s="96"/>
      <c r="K5" s="96"/>
      <c r="L5" s="97"/>
      <c r="N5" s="140"/>
      <c r="O5" s="141"/>
      <c r="P5" s="141"/>
      <c r="Q5" s="141"/>
      <c r="R5" s="141"/>
      <c r="S5" s="141"/>
      <c r="T5" s="141"/>
      <c r="U5" s="141"/>
      <c r="V5" s="141"/>
      <c r="W5" s="141"/>
      <c r="X5" s="141"/>
    </row>
    <row r="6" spans="2:24" ht="15.75" x14ac:dyDescent="0.25">
      <c r="B6" s="139"/>
      <c r="C6" s="138"/>
      <c r="D6" s="138"/>
      <c r="E6" s="138"/>
      <c r="F6" s="138"/>
      <c r="G6" s="138"/>
      <c r="H6" s="138"/>
      <c r="I6" s="138"/>
      <c r="J6" s="96"/>
      <c r="K6" s="96"/>
      <c r="L6" s="97"/>
      <c r="N6" s="141"/>
      <c r="O6" s="141"/>
      <c r="P6" s="141"/>
      <c r="Q6" s="141"/>
      <c r="R6" s="141"/>
      <c r="S6" s="141"/>
      <c r="T6" s="141"/>
      <c r="U6" s="141"/>
      <c r="V6" s="141"/>
      <c r="W6" s="141"/>
      <c r="X6" s="141"/>
    </row>
    <row r="7" spans="2:24" ht="5.25" customHeight="1" x14ac:dyDescent="0.25">
      <c r="B7" s="102"/>
      <c r="C7" s="103"/>
      <c r="D7" s="103"/>
      <c r="E7" s="103"/>
      <c r="F7" s="103"/>
      <c r="G7" s="103"/>
      <c r="H7" s="103"/>
      <c r="I7" s="96"/>
      <c r="J7" s="96"/>
      <c r="K7" s="104"/>
      <c r="L7" s="105"/>
    </row>
    <row r="8" spans="2:24" ht="13.5" customHeight="1" thickBot="1" x14ac:dyDescent="0.3">
      <c r="B8" s="106"/>
      <c r="C8" s="142"/>
      <c r="D8" s="143"/>
      <c r="E8" s="144"/>
      <c r="F8" s="145"/>
      <c r="G8" s="107"/>
      <c r="H8" s="107"/>
      <c r="I8" s="107"/>
      <c r="J8" s="107"/>
      <c r="K8" s="108"/>
      <c r="L8" s="109" t="s">
        <v>92</v>
      </c>
      <c r="N8" s="146"/>
    </row>
    <row r="9" spans="2:24" ht="9.75" customHeight="1" x14ac:dyDescent="0.25">
      <c r="B9" s="110"/>
      <c r="C9" s="110"/>
      <c r="D9" s="110"/>
      <c r="E9" s="110"/>
      <c r="F9" s="110"/>
      <c r="G9" s="111"/>
      <c r="H9" s="110"/>
      <c r="I9" s="110"/>
      <c r="J9" s="110"/>
      <c r="K9" s="110"/>
      <c r="L9" s="110"/>
      <c r="N9" s="146"/>
    </row>
    <row r="28" spans="2:12" ht="15.75" x14ac:dyDescent="0.25">
      <c r="B28" s="112" t="s">
        <v>70</v>
      </c>
      <c r="C28" s="113"/>
      <c r="D28" s="113"/>
      <c r="E28" s="113"/>
      <c r="F28" s="114"/>
      <c r="G28" s="114"/>
      <c r="H28" s="114"/>
      <c r="I28" s="114"/>
      <c r="J28" s="114"/>
      <c r="K28" s="114"/>
      <c r="L28" s="114"/>
    </row>
    <row r="29" spans="2:12" x14ac:dyDescent="0.2">
      <c r="B29" s="147" t="s">
        <v>71</v>
      </c>
      <c r="C29" s="147"/>
      <c r="D29" s="147"/>
      <c r="E29" s="147"/>
      <c r="F29" s="147"/>
      <c r="G29" s="147"/>
      <c r="H29" s="147"/>
      <c r="I29" s="147"/>
      <c r="J29" s="147"/>
      <c r="K29" s="147"/>
      <c r="L29" s="147"/>
    </row>
    <row r="30" spans="2:12" ht="35.25" customHeight="1" x14ac:dyDescent="0.2">
      <c r="B30" s="147"/>
      <c r="C30" s="147"/>
      <c r="D30" s="147"/>
      <c r="E30" s="147"/>
      <c r="F30" s="147"/>
      <c r="G30" s="147"/>
      <c r="H30" s="147"/>
      <c r="I30" s="147"/>
      <c r="J30" s="147"/>
      <c r="K30" s="147"/>
      <c r="L30" s="147"/>
    </row>
    <row r="31" spans="2:12" ht="19.5" customHeight="1" x14ac:dyDescent="0.25">
      <c r="B31" s="131" t="s">
        <v>72</v>
      </c>
      <c r="C31" s="127"/>
      <c r="D31" s="127"/>
      <c r="E31" s="127"/>
      <c r="F31" s="115"/>
      <c r="G31" s="116"/>
      <c r="H31" s="115"/>
      <c r="I31" s="115"/>
      <c r="J31" s="115"/>
      <c r="K31" s="115"/>
      <c r="L31" s="115"/>
    </row>
    <row r="32" spans="2:12" ht="20.25" customHeight="1" x14ac:dyDescent="0.25">
      <c r="B32" s="113" t="s">
        <v>84</v>
      </c>
      <c r="C32" s="113"/>
      <c r="D32" s="113"/>
      <c r="E32" s="113"/>
      <c r="F32" s="114"/>
      <c r="G32" s="117"/>
      <c r="H32" s="114"/>
      <c r="I32" s="114"/>
      <c r="J32" s="114"/>
      <c r="K32" s="114"/>
      <c r="L32" s="114"/>
    </row>
    <row r="33" spans="2:17" ht="29.25" customHeight="1" x14ac:dyDescent="0.2">
      <c r="B33" s="132" t="s">
        <v>85</v>
      </c>
      <c r="C33" s="133"/>
      <c r="D33" s="133"/>
      <c r="E33" s="133"/>
      <c r="F33" s="133"/>
      <c r="G33" s="133"/>
      <c r="H33" s="133"/>
      <c r="I33" s="133"/>
      <c r="J33" s="133"/>
      <c r="K33" s="133"/>
      <c r="L33" s="133"/>
    </row>
    <row r="34" spans="2:17" ht="17.25" customHeight="1" x14ac:dyDescent="0.2">
      <c r="B34" s="133"/>
      <c r="C34" s="133"/>
      <c r="D34" s="133"/>
      <c r="E34" s="133"/>
      <c r="F34" s="133"/>
      <c r="G34" s="133"/>
      <c r="H34" s="133"/>
      <c r="I34" s="133"/>
      <c r="J34" s="133"/>
      <c r="K34" s="133"/>
      <c r="L34" s="133"/>
    </row>
    <row r="35" spans="2:17" ht="12.75" customHeight="1" x14ac:dyDescent="0.2">
      <c r="B35" s="133"/>
      <c r="C35" s="133"/>
      <c r="D35" s="133"/>
      <c r="E35" s="133"/>
      <c r="F35" s="133"/>
      <c r="G35" s="133"/>
      <c r="H35" s="133"/>
      <c r="I35" s="133"/>
      <c r="J35" s="133"/>
      <c r="K35" s="133"/>
      <c r="L35" s="133"/>
    </row>
    <row r="36" spans="2:17" ht="12.75" customHeight="1" x14ac:dyDescent="0.2">
      <c r="B36" s="133"/>
      <c r="C36" s="133"/>
      <c r="D36" s="133"/>
      <c r="E36" s="133"/>
      <c r="F36" s="133"/>
      <c r="G36" s="133"/>
      <c r="H36" s="133"/>
      <c r="I36" s="133"/>
      <c r="J36" s="133"/>
      <c r="K36" s="133"/>
      <c r="L36" s="133"/>
    </row>
    <row r="37" spans="2:17" x14ac:dyDescent="0.2">
      <c r="B37" s="133"/>
      <c r="C37" s="133"/>
      <c r="D37" s="133"/>
      <c r="E37" s="133"/>
      <c r="F37" s="133"/>
      <c r="G37" s="133"/>
      <c r="H37" s="133"/>
      <c r="I37" s="133"/>
      <c r="J37" s="133"/>
      <c r="K37" s="133"/>
      <c r="L37" s="133"/>
    </row>
    <row r="38" spans="2:17" ht="15.75" hidden="1" x14ac:dyDescent="0.25">
      <c r="B38" s="118"/>
      <c r="C38" s="118"/>
      <c r="D38" s="118"/>
      <c r="E38" s="118"/>
      <c r="F38" s="118"/>
      <c r="G38" s="118"/>
      <c r="H38" s="118"/>
      <c r="I38" s="118"/>
      <c r="J38" s="118"/>
      <c r="K38" s="118"/>
      <c r="L38" s="118"/>
    </row>
    <row r="39" spans="2:17" ht="15.75" x14ac:dyDescent="0.25">
      <c r="B39" s="118"/>
      <c r="C39" s="118"/>
      <c r="D39" s="118"/>
      <c r="E39" s="118"/>
      <c r="F39" s="118"/>
      <c r="G39" s="118"/>
      <c r="H39" s="118"/>
      <c r="I39" s="118"/>
      <c r="J39" s="118"/>
      <c r="K39" s="118"/>
      <c r="L39" s="118"/>
    </row>
    <row r="40" spans="2:17" ht="15.75" x14ac:dyDescent="0.25">
      <c r="B40" s="119" t="s">
        <v>73</v>
      </c>
      <c r="C40" s="114"/>
      <c r="D40" s="115"/>
      <c r="E40" s="115"/>
      <c r="F40" s="115"/>
      <c r="G40" s="115"/>
      <c r="H40" s="115"/>
      <c r="I40" s="115"/>
      <c r="J40" s="115"/>
      <c r="K40" s="115"/>
      <c r="L40" s="115"/>
    </row>
    <row r="41" spans="2:17" s="119" customFormat="1" ht="18.75" customHeight="1" x14ac:dyDescent="0.25">
      <c r="B41" s="114" t="s">
        <v>74</v>
      </c>
    </row>
    <row r="42" spans="2:17" s="114" customFormat="1" ht="18" customHeight="1" x14ac:dyDescent="0.25">
      <c r="B42" s="120"/>
      <c r="C42" s="134" t="s">
        <v>51</v>
      </c>
      <c r="D42" s="135"/>
      <c r="E42" s="135"/>
      <c r="I42" s="134" t="s">
        <v>52</v>
      </c>
      <c r="J42" s="135"/>
      <c r="K42" s="135"/>
      <c r="L42" s="135"/>
    </row>
    <row r="43" spans="2:17" ht="18" customHeight="1" x14ac:dyDescent="0.2">
      <c r="B43" s="132" t="s">
        <v>65</v>
      </c>
      <c r="C43" s="132"/>
      <c r="D43" s="132"/>
      <c r="E43" s="132"/>
      <c r="F43" s="132"/>
      <c r="G43" s="132"/>
      <c r="H43" s="132"/>
      <c r="I43" s="132"/>
      <c r="J43" s="132"/>
      <c r="K43" s="132"/>
      <c r="L43" s="132"/>
    </row>
    <row r="44" spans="2:17" ht="12.75" customHeight="1" x14ac:dyDescent="0.2">
      <c r="B44" s="132"/>
      <c r="C44" s="132"/>
      <c r="D44" s="132"/>
      <c r="E44" s="132"/>
      <c r="F44" s="132"/>
      <c r="G44" s="132"/>
      <c r="H44" s="132"/>
      <c r="I44" s="132"/>
      <c r="J44" s="132"/>
      <c r="K44" s="132"/>
      <c r="L44" s="132"/>
    </row>
    <row r="45" spans="2:17" ht="15.75" x14ac:dyDescent="0.25">
      <c r="B45" s="114" t="s">
        <v>66</v>
      </c>
      <c r="C45" s="114"/>
      <c r="D45" s="114"/>
      <c r="E45" s="121"/>
      <c r="F45" s="114"/>
      <c r="G45" s="114"/>
      <c r="H45" s="114"/>
      <c r="I45" s="114"/>
      <c r="J45" s="114"/>
      <c r="K45" s="114"/>
      <c r="L45" s="114"/>
      <c r="P45" s="122"/>
      <c r="Q45" s="122"/>
    </row>
    <row r="46" spans="2:17" ht="15.75" x14ac:dyDescent="0.25">
      <c r="B46" s="114" t="s">
        <v>75</v>
      </c>
      <c r="C46" s="114"/>
      <c r="D46" s="114"/>
      <c r="E46" s="121"/>
      <c r="F46" s="114"/>
      <c r="G46" s="114"/>
      <c r="H46" s="114"/>
      <c r="I46" s="114"/>
      <c r="J46" s="114"/>
      <c r="K46" s="114"/>
      <c r="L46" s="114"/>
      <c r="P46" s="122"/>
      <c r="Q46" s="122"/>
    </row>
    <row r="47" spans="2:17" ht="15.75" x14ac:dyDescent="0.25">
      <c r="B47" s="114" t="s">
        <v>53</v>
      </c>
      <c r="C47" s="114"/>
      <c r="D47" s="114"/>
      <c r="E47" s="114"/>
      <c r="F47" s="114"/>
      <c r="G47" s="114"/>
      <c r="H47" s="114"/>
      <c r="I47" s="114"/>
      <c r="J47" s="114"/>
      <c r="K47" s="114"/>
      <c r="L47" s="114"/>
      <c r="P47" s="122"/>
      <c r="Q47" s="122"/>
    </row>
    <row r="48" spans="2:17" ht="15.75" x14ac:dyDescent="0.25">
      <c r="B48" s="114" t="s">
        <v>29</v>
      </c>
      <c r="C48" s="114"/>
      <c r="D48" s="114"/>
      <c r="E48" s="114"/>
      <c r="F48" s="114"/>
      <c r="G48" s="114"/>
      <c r="H48" s="114"/>
      <c r="I48" s="114"/>
      <c r="J48" s="114"/>
      <c r="K48" s="114"/>
      <c r="L48" s="114"/>
      <c r="P48" s="136"/>
      <c r="Q48" s="136"/>
    </row>
    <row r="49" spans="2:12" ht="15.75" x14ac:dyDescent="0.25">
      <c r="B49" s="126" t="s">
        <v>76</v>
      </c>
      <c r="C49" s="127"/>
      <c r="D49" s="127"/>
      <c r="E49" s="114"/>
      <c r="F49" s="114"/>
      <c r="G49" s="128"/>
      <c r="H49" s="127"/>
      <c r="I49" s="127"/>
      <c r="J49" s="114"/>
      <c r="K49" s="114"/>
      <c r="L49" s="114"/>
    </row>
    <row r="50" spans="2:12" ht="15.75" x14ac:dyDescent="0.25">
      <c r="B50" s="123" t="s">
        <v>77</v>
      </c>
      <c r="C50" s="124"/>
      <c r="D50" s="113"/>
      <c r="E50" s="114"/>
      <c r="F50" s="114"/>
      <c r="G50" s="125"/>
      <c r="H50" s="113"/>
      <c r="I50" s="113"/>
      <c r="J50" s="114"/>
      <c r="K50" s="114"/>
      <c r="L50" s="114"/>
    </row>
    <row r="51" spans="2:12" ht="15.75" x14ac:dyDescent="0.25">
      <c r="B51" s="114"/>
      <c r="C51" s="115"/>
      <c r="D51" s="114"/>
      <c r="E51" s="114"/>
      <c r="F51" s="114"/>
      <c r="G51" s="114"/>
      <c r="H51" s="114"/>
      <c r="I51" s="114"/>
      <c r="J51" s="114"/>
      <c r="K51" s="114"/>
      <c r="L51" s="114"/>
    </row>
    <row r="52" spans="2:12" ht="15.75" x14ac:dyDescent="0.25">
      <c r="B52" s="119" t="s">
        <v>78</v>
      </c>
      <c r="C52" s="115"/>
      <c r="D52" s="114"/>
      <c r="E52" s="114"/>
      <c r="F52" s="114"/>
      <c r="G52" s="114"/>
      <c r="H52" s="114"/>
      <c r="I52" s="114"/>
      <c r="J52" s="114"/>
      <c r="K52" s="114"/>
      <c r="L52" s="114"/>
    </row>
    <row r="53" spans="2:12" ht="14.25" customHeight="1" x14ac:dyDescent="0.2">
      <c r="B53" s="129" t="s">
        <v>79</v>
      </c>
      <c r="C53" s="129"/>
      <c r="D53" s="129"/>
      <c r="E53" s="129"/>
      <c r="F53" s="129"/>
      <c r="G53" s="129"/>
      <c r="H53" s="129"/>
      <c r="I53" s="129"/>
      <c r="J53" s="129"/>
      <c r="K53" s="129"/>
      <c r="L53" s="129"/>
    </row>
    <row r="54" spans="2:12" ht="34.5" customHeight="1" x14ac:dyDescent="0.2">
      <c r="B54" s="129"/>
      <c r="C54" s="129"/>
      <c r="D54" s="129"/>
      <c r="E54" s="129"/>
      <c r="F54" s="129"/>
      <c r="G54" s="129"/>
      <c r="H54" s="129"/>
      <c r="I54" s="129"/>
      <c r="J54" s="129"/>
      <c r="K54" s="129"/>
      <c r="L54" s="129"/>
    </row>
    <row r="55" spans="2:12" x14ac:dyDescent="0.2">
      <c r="B55" s="130" t="s">
        <v>89</v>
      </c>
      <c r="C55" s="130"/>
      <c r="D55" s="130"/>
      <c r="E55" s="130"/>
      <c r="F55" s="130"/>
      <c r="G55" s="130"/>
      <c r="H55" s="130"/>
      <c r="I55" s="130"/>
      <c r="J55" s="130"/>
      <c r="K55" s="130"/>
      <c r="L55" s="130"/>
    </row>
    <row r="56" spans="2:12" ht="16.5" customHeight="1" x14ac:dyDescent="0.2">
      <c r="B56" s="130"/>
      <c r="C56" s="130"/>
      <c r="D56" s="130"/>
      <c r="E56" s="130"/>
      <c r="F56" s="130"/>
      <c r="G56" s="130"/>
      <c r="H56" s="130"/>
      <c r="I56" s="130"/>
      <c r="J56" s="130"/>
      <c r="K56" s="130"/>
      <c r="L56" s="130"/>
    </row>
  </sheetData>
  <sheetProtection algorithmName="SHA-512" hashValue="I9A03IqTTEoYQjE0vizFIEEt8HWpy4iP1EEX6x64Dv5ZBb6vpgO7gN9Aycto0hl3bqThK5fCqptB4fKM7z/w7w==" saltValue="E8Z8BHGLgAGRuSc5HBZ/Kw==" spinCount="100000" sheet="1" objects="1" scenarios="1"/>
  <mergeCells count="16">
    <mergeCell ref="P48:Q48"/>
    <mergeCell ref="B5:I6"/>
    <mergeCell ref="N5:X6"/>
    <mergeCell ref="C8:D8"/>
    <mergeCell ref="E8:F8"/>
    <mergeCell ref="N8:N9"/>
    <mergeCell ref="B29:L30"/>
    <mergeCell ref="B49:D49"/>
    <mergeCell ref="G49:I49"/>
    <mergeCell ref="B53:L54"/>
    <mergeCell ref="B55:L56"/>
    <mergeCell ref="B31:E31"/>
    <mergeCell ref="B33:L37"/>
    <mergeCell ref="C42:E42"/>
    <mergeCell ref="I42:L42"/>
    <mergeCell ref="B43:L44"/>
  </mergeCells>
  <hyperlinks>
    <hyperlink ref="B49" r:id="rId1"/>
    <hyperlink ref="C42" r:id="rId2"/>
    <hyperlink ref="I42" r:id="rId3"/>
  </hyperlinks>
  <printOptions horizontalCentered="1"/>
  <pageMargins left="0.75" right="0.75" top="1" bottom="1" header="0.5" footer="0.5"/>
  <pageSetup scale="72" orientation="portrait" r:id="rId4"/>
  <headerFooter alignWithMargins="0">
    <oddHeader>&amp;R&amp;D</oddHeader>
    <oddFooter>&amp;A</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S152"/>
  <sheetViews>
    <sheetView zoomScaleNormal="100" workbookViewId="0">
      <selection activeCell="A10" sqref="A10"/>
    </sheetView>
  </sheetViews>
  <sheetFormatPr defaultColWidth="9.140625" defaultRowHeight="12.75" x14ac:dyDescent="0.2"/>
  <cols>
    <col min="1" max="1" width="4.7109375" style="5" customWidth="1"/>
    <col min="2" max="4" width="11.28515625" style="5" customWidth="1"/>
    <col min="5" max="5" width="7.7109375" style="5" customWidth="1"/>
    <col min="6" max="6" width="13.7109375" style="5" customWidth="1"/>
    <col min="7" max="7" width="13.140625" style="5" customWidth="1"/>
    <col min="8" max="8" width="14.140625" style="5" customWidth="1"/>
    <col min="9" max="9" width="4.7109375" style="5" customWidth="1"/>
    <col min="10" max="10" width="12.28515625" style="5" customWidth="1"/>
    <col min="11" max="12" width="12.5703125" style="5" customWidth="1"/>
    <col min="13" max="13" width="12.140625" style="5" customWidth="1"/>
    <col min="14" max="14" width="13.5703125" style="5" customWidth="1"/>
    <col min="15" max="15" width="12.140625" style="5" customWidth="1"/>
    <col min="16" max="17" width="11.42578125" style="5" customWidth="1"/>
    <col min="18" max="16384" width="9.140625" style="5"/>
  </cols>
  <sheetData>
    <row r="2" spans="2:19" ht="16.5" thickBot="1" x14ac:dyDescent="0.3">
      <c r="B2" s="6" t="s">
        <v>49</v>
      </c>
      <c r="C2" s="7"/>
      <c r="D2" s="7"/>
      <c r="E2" s="7"/>
      <c r="F2" s="7"/>
      <c r="G2" s="7"/>
      <c r="H2" s="7"/>
      <c r="I2" s="7"/>
      <c r="J2" s="7"/>
      <c r="K2" s="7"/>
      <c r="L2" s="7"/>
      <c r="M2" s="38"/>
      <c r="N2" s="7"/>
      <c r="O2" s="7"/>
      <c r="P2" s="7"/>
      <c r="Q2" s="7"/>
    </row>
    <row r="4" spans="2:19" ht="13.5" thickBot="1" x14ac:dyDescent="0.25">
      <c r="B4" s="148" t="s">
        <v>38</v>
      </c>
      <c r="C4" s="148"/>
      <c r="D4" s="148"/>
      <c r="E4" s="148"/>
      <c r="F4" s="148"/>
      <c r="G4" s="148"/>
      <c r="H4" s="52">
        <v>44018</v>
      </c>
      <c r="J4" s="7"/>
      <c r="K4" s="7"/>
      <c r="L4" s="11" t="s">
        <v>15</v>
      </c>
      <c r="M4" s="11" t="s">
        <v>22</v>
      </c>
      <c r="N4" s="11" t="s">
        <v>8</v>
      </c>
      <c r="O4" s="11" t="s">
        <v>9</v>
      </c>
      <c r="P4" s="11" t="s">
        <v>8</v>
      </c>
      <c r="Q4" s="11" t="s">
        <v>9</v>
      </c>
    </row>
    <row r="5" spans="2:19" x14ac:dyDescent="0.2">
      <c r="B5" s="148" t="str">
        <f>"Number of head (number of head to match futures contract = "&amp;FIXED(L117/H6,0)&amp;")"</f>
        <v>Number of head (number of head to match futures contract = 84)</v>
      </c>
      <c r="C5" s="148"/>
      <c r="D5" s="148"/>
      <c r="E5" s="148"/>
      <c r="F5" s="148"/>
      <c r="G5" s="148"/>
      <c r="H5" s="53">
        <v>85</v>
      </c>
      <c r="J5" s="5" t="s">
        <v>19</v>
      </c>
      <c r="L5" s="54">
        <v>1</v>
      </c>
      <c r="M5" s="54">
        <v>85</v>
      </c>
      <c r="N5" s="54">
        <v>1</v>
      </c>
      <c r="O5" s="54">
        <v>1</v>
      </c>
      <c r="P5" s="54">
        <v>1</v>
      </c>
      <c r="Q5" s="54">
        <v>1</v>
      </c>
    </row>
    <row r="6" spans="2:19" x14ac:dyDescent="0.2">
      <c r="B6" s="148" t="str">
        <f>"Expected weight at time of sale, lbs/head -- "&amp;IF(H6&lt;L115,"(use weight 1 for LRP)","(use weight 2 for LRP)")</f>
        <v>Expected weight at time of sale, lbs/head -- (use weight 1 for LRP)</v>
      </c>
      <c r="C6" s="148"/>
      <c r="D6" s="148"/>
      <c r="E6" s="148"/>
      <c r="F6" s="148"/>
      <c r="G6" s="148"/>
      <c r="H6" s="53">
        <v>595</v>
      </c>
      <c r="J6" s="5" t="s">
        <v>20</v>
      </c>
      <c r="L6" s="9"/>
      <c r="M6" s="64">
        <v>140.80000000000001</v>
      </c>
      <c r="N6" s="64">
        <v>134</v>
      </c>
      <c r="O6" s="64">
        <v>142</v>
      </c>
      <c r="P6" s="64">
        <v>140</v>
      </c>
      <c r="Q6" s="64">
        <v>140</v>
      </c>
    </row>
    <row r="7" spans="2:19" ht="13.5" thickBot="1" x14ac:dyDescent="0.25">
      <c r="B7" s="148" t="s">
        <v>24</v>
      </c>
      <c r="C7" s="148"/>
      <c r="D7" s="148"/>
      <c r="E7" s="148"/>
      <c r="F7" s="148"/>
      <c r="G7" s="148"/>
      <c r="H7" s="8">
        <f>H5*H6</f>
        <v>50575</v>
      </c>
      <c r="J7" s="7" t="s">
        <v>21</v>
      </c>
      <c r="K7" s="7"/>
      <c r="L7" s="7"/>
      <c r="M7" s="42">
        <f>VLOOKUP(M6,B105:D117,3,1)</f>
        <v>4.0960000000000001</v>
      </c>
      <c r="N7" s="14">
        <f>VLOOKUP(N6,B22:D34,2,1)</f>
        <v>5.2</v>
      </c>
      <c r="O7" s="14">
        <f>VLOOKUP(O6,B22:D34,3,1)</f>
        <v>3.8</v>
      </c>
      <c r="P7" s="14">
        <f>VLOOKUP(P6,B22:D34,2,1)</f>
        <v>7.95</v>
      </c>
      <c r="Q7" s="14">
        <f>IF(Q6=0,0,VLOOKUP(Q6,B22:D34,3,1))</f>
        <v>4.6500000000000004</v>
      </c>
    </row>
    <row r="8" spans="2:19" x14ac:dyDescent="0.2">
      <c r="B8" s="148" t="s">
        <v>11</v>
      </c>
      <c r="C8" s="148"/>
      <c r="D8" s="148"/>
      <c r="E8" s="148"/>
      <c r="F8" s="148"/>
      <c r="G8" s="148"/>
      <c r="H8" s="52">
        <v>44133</v>
      </c>
      <c r="M8" s="10" t="str">
        <f>IF(M5&gt;H5,"Cannot buy LRP for more cattle than owned!","")</f>
        <v/>
      </c>
      <c r="O8" s="84" t="s">
        <v>64</v>
      </c>
    </row>
    <row r="9" spans="2:19" x14ac:dyDescent="0.2">
      <c r="B9" s="148" t="s">
        <v>40</v>
      </c>
      <c r="C9" s="148"/>
      <c r="D9" s="148"/>
      <c r="E9" s="148"/>
      <c r="F9" s="148"/>
      <c r="G9" s="148"/>
      <c r="H9" s="53" t="s">
        <v>41</v>
      </c>
      <c r="K9" s="77" t="s">
        <v>54</v>
      </c>
      <c r="L9" s="77"/>
      <c r="M9" s="77"/>
      <c r="N9" s="77"/>
      <c r="O9" s="77"/>
      <c r="P9" s="77"/>
    </row>
    <row r="10" spans="2:19" x14ac:dyDescent="0.2">
      <c r="J10" s="16" t="s">
        <v>15</v>
      </c>
      <c r="K10" s="16"/>
      <c r="L10" s="16"/>
      <c r="M10" s="16"/>
      <c r="N10" s="16"/>
      <c r="O10" s="16" t="s">
        <v>1</v>
      </c>
      <c r="P10" s="16"/>
    </row>
    <row r="11" spans="2:19" ht="13.5" thickBot="1" x14ac:dyDescent="0.25">
      <c r="B11" s="148" t="s">
        <v>26</v>
      </c>
      <c r="C11" s="148"/>
      <c r="D11" s="148"/>
      <c r="E11" s="148"/>
      <c r="F11" s="148"/>
      <c r="G11" s="148"/>
      <c r="H11" s="53" t="s">
        <v>91</v>
      </c>
      <c r="J11" s="17" t="s">
        <v>10</v>
      </c>
      <c r="K11" s="17" t="s">
        <v>0</v>
      </c>
      <c r="L11" s="17" t="s">
        <v>1</v>
      </c>
      <c r="M11" s="17" t="s">
        <v>22</v>
      </c>
      <c r="N11" s="17" t="s">
        <v>8</v>
      </c>
      <c r="O11" s="17" t="s">
        <v>35</v>
      </c>
      <c r="P11" s="17" t="s">
        <v>23</v>
      </c>
      <c r="Q11" s="7"/>
    </row>
    <row r="12" spans="2:19" x14ac:dyDescent="0.2">
      <c r="B12" s="148" t="s">
        <v>3</v>
      </c>
      <c r="C12" s="148"/>
      <c r="D12" s="148"/>
      <c r="E12" s="148"/>
      <c r="F12" s="148"/>
      <c r="G12" s="148"/>
      <c r="H12" s="55">
        <v>60</v>
      </c>
      <c r="J12" s="65">
        <v>110</v>
      </c>
      <c r="K12" s="66">
        <f t="shared" ref="K12:K20" si="0">J12+H$15</f>
        <v>122.83</v>
      </c>
      <c r="L12" s="67">
        <f t="shared" ref="L12:L20" si="1">IF(L$5=0,"n/a",(K12/100*H$7+((H$14-J12)*L$117/100-H$12)*L$5)/H$7*100)</f>
        <v>149.10780523974293</v>
      </c>
      <c r="M12" s="68">
        <f>IF(OR(M$5=0,M$5&gt;H$5),"n/a",(K12/100*H$7-M$7*H$6/100*M$5+IF(M$6&gt;J12*L$113,(M$6-J12*L$113)*H$6/100*M$5,0))/H$7*100)</f>
        <v>138.53399999999999</v>
      </c>
      <c r="N12" s="67">
        <f>IF(N$5=0,"n/a",(K12/100*H$7-(N$7*L$117/100+H$13)*N$5+IF(N$6&gt;J12,((N$6-J12)*L$117/100-H$13)*N$5))/H$7*100)</f>
        <v>141.29762234305485</v>
      </c>
      <c r="O12" s="67">
        <f t="shared" ref="O12:O20" si="2">IF(O$5=0,"n/a",(K12/100*H$7+((H$14-J12)*L$117/100-H$12)*L$5-(O$7*L$117/100+H$13)*O$5+IF(J12&gt;O$6,((J12-O$6)*L$117/100-H$13)*O$5,0))/H$7*100)</f>
        <v>145.29169055857636</v>
      </c>
      <c r="P12" s="67">
        <f>IF(SUM(P$5:Q$5)=0,"n/a",(K12/100*H$7-(P$7*L$117/100+H$13)*P$5+(Q$7*L$117/100-H$13)*Q$5+IF(P$6&gt;J12,((P$6-J12)*L$117/100-H$13)*P$5)-IF(Q$6&lt;J12,((J12-Q$6)*L$117/100+H$13)*Q$5))/H$7*100)</f>
        <v>149.04848739495799</v>
      </c>
      <c r="Q12" s="31">
        <f>MAX(K12:P12)</f>
        <v>149.10780523974293</v>
      </c>
    </row>
    <row r="13" spans="2:19" x14ac:dyDescent="0.2">
      <c r="B13" s="148" t="s">
        <v>4</v>
      </c>
      <c r="C13" s="148"/>
      <c r="D13" s="148"/>
      <c r="E13" s="148"/>
      <c r="F13" s="148"/>
      <c r="G13" s="148"/>
      <c r="H13" s="55">
        <v>30</v>
      </c>
      <c r="J13" s="69">
        <f t="shared" ref="J13:J20" si="3">+J12+J$21</f>
        <v>115</v>
      </c>
      <c r="K13" s="69">
        <f t="shared" si="0"/>
        <v>127.83</v>
      </c>
      <c r="L13" s="68">
        <f t="shared" si="1"/>
        <v>149.16465150766186</v>
      </c>
      <c r="M13" s="68">
        <f t="shared" ref="M13:M20" si="4">IF(OR(M$5=0,M$5&gt;H$5),"n/a",(K13/100*H$7-M$7*H$6/100*M$5+IF(M$6&gt;J13*L$113,(M$6-J13*L$113)*H$6/100*M$5,0))/H$7*100)</f>
        <v>138.03400000000002</v>
      </c>
      <c r="N13" s="68">
        <f t="shared" ref="N13:N20" si="5">IF(N$5=0,"n/a",(K13/100*H$7-(N$7*L$117/100+H$13)*N$5+IF(N$6&gt;J13,((N$6-J13)*L$117/100-H$13)*N$5))/H$7*100)</f>
        <v>141.35446861097378</v>
      </c>
      <c r="O13" s="68">
        <f t="shared" si="2"/>
        <v>145.34853682649529</v>
      </c>
      <c r="P13" s="68">
        <f t="shared" ref="P13:P20" si="6">IF(SUM(P$5:Q$5)=0,"n/a",(K13/100*H$7-(P$7*L$117/100+H$13)*P$5+(Q$7*L$117/100-H$13)*Q$5+IF(P$6&gt;J13,((P$6-J13)*L$117/100-H$13)*P$5)-IF(Q$6&lt;J13,((J13-Q$6)*L$117/100+H$13)*Q$5))/H$7*100)</f>
        <v>149.10533366287692</v>
      </c>
      <c r="Q13" s="37">
        <f t="shared" ref="Q13:Q20" si="7">MAX(K13:P13)</f>
        <v>149.16465150766186</v>
      </c>
    </row>
    <row r="14" spans="2:19" x14ac:dyDescent="0.2">
      <c r="B14" s="148" t="str">
        <f>"Futures price -- "&amp;H11&amp;" CME feeder cattle contract, $/cwt*"</f>
        <v>Futures price -- Oct CME feeder cattle contract, $/cwt*</v>
      </c>
      <c r="C14" s="148"/>
      <c r="D14" s="148"/>
      <c r="E14" s="148"/>
      <c r="F14" s="148"/>
      <c r="G14" s="148"/>
      <c r="H14" s="56">
        <v>136.69999999999999</v>
      </c>
      <c r="J14" s="69">
        <f t="shared" si="3"/>
        <v>120</v>
      </c>
      <c r="K14" s="69">
        <f t="shared" si="0"/>
        <v>132.83000000000001</v>
      </c>
      <c r="L14" s="68">
        <f t="shared" si="1"/>
        <v>149.22149777558081</v>
      </c>
      <c r="M14" s="68">
        <f t="shared" si="4"/>
        <v>137.53400000000002</v>
      </c>
      <c r="N14" s="68">
        <f t="shared" si="5"/>
        <v>141.41131487889274</v>
      </c>
      <c r="O14" s="68">
        <f t="shared" si="2"/>
        <v>145.40538309441425</v>
      </c>
      <c r="P14" s="68">
        <f t="shared" si="6"/>
        <v>149.16217993079584</v>
      </c>
      <c r="Q14" s="37">
        <f t="shared" si="7"/>
        <v>149.22149777558081</v>
      </c>
    </row>
    <row r="15" spans="2:19" x14ac:dyDescent="0.2">
      <c r="B15" s="148" t="str">
        <f>"Expected basis (cash - "&amp;H11&amp;" CME futures), $/cwt#"</f>
        <v>Expected basis (cash - Oct CME futures), $/cwt#</v>
      </c>
      <c r="C15" s="148"/>
      <c r="D15" s="148"/>
      <c r="E15" s="148"/>
      <c r="F15" s="148"/>
      <c r="G15" s="148"/>
      <c r="H15" s="55">
        <v>12.83</v>
      </c>
      <c r="J15" s="69">
        <f t="shared" si="3"/>
        <v>125</v>
      </c>
      <c r="K15" s="69">
        <f t="shared" si="0"/>
        <v>137.83000000000001</v>
      </c>
      <c r="L15" s="68">
        <f t="shared" si="1"/>
        <v>149.27834404349974</v>
      </c>
      <c r="M15" s="68">
        <f t="shared" si="4"/>
        <v>137.03400000000002</v>
      </c>
      <c r="N15" s="68">
        <f t="shared" si="5"/>
        <v>141.4681611468117</v>
      </c>
      <c r="O15" s="68">
        <f t="shared" si="2"/>
        <v>145.46222936233318</v>
      </c>
      <c r="P15" s="68">
        <f t="shared" si="6"/>
        <v>149.2190261987148</v>
      </c>
      <c r="Q15" s="37">
        <f t="shared" si="7"/>
        <v>149.27834404349974</v>
      </c>
      <c r="S15" s="12"/>
    </row>
    <row r="16" spans="2:19" x14ac:dyDescent="0.2">
      <c r="B16" s="148" t="s">
        <v>32</v>
      </c>
      <c r="C16" s="148"/>
      <c r="D16" s="148"/>
      <c r="E16" s="148"/>
      <c r="F16" s="148"/>
      <c r="G16" s="148"/>
      <c r="H16" s="56">
        <v>150.37</v>
      </c>
      <c r="J16" s="69">
        <f t="shared" si="3"/>
        <v>130</v>
      </c>
      <c r="K16" s="69">
        <f t="shared" si="0"/>
        <v>142.83000000000001</v>
      </c>
      <c r="L16" s="68">
        <f t="shared" si="1"/>
        <v>149.3351903114187</v>
      </c>
      <c r="M16" s="68">
        <f t="shared" si="4"/>
        <v>138.73400000000004</v>
      </c>
      <c r="N16" s="68">
        <f t="shared" si="5"/>
        <v>141.52500741473062</v>
      </c>
      <c r="O16" s="68">
        <f t="shared" si="2"/>
        <v>145.5190756302521</v>
      </c>
      <c r="P16" s="68">
        <f t="shared" si="6"/>
        <v>149.27587246663373</v>
      </c>
      <c r="Q16" s="37">
        <f t="shared" si="7"/>
        <v>149.3351903114187</v>
      </c>
      <c r="S16" s="12"/>
    </row>
    <row r="17" spans="2:17" x14ac:dyDescent="0.2">
      <c r="B17" s="148" t="s">
        <v>25</v>
      </c>
      <c r="C17" s="148"/>
      <c r="D17" s="148"/>
      <c r="E17" s="148"/>
      <c r="F17" s="148"/>
      <c r="G17" s="148"/>
      <c r="H17" s="57">
        <v>44133</v>
      </c>
      <c r="J17" s="69">
        <f t="shared" si="3"/>
        <v>135</v>
      </c>
      <c r="K17" s="69">
        <f t="shared" si="0"/>
        <v>147.83000000000001</v>
      </c>
      <c r="L17" s="68">
        <f t="shared" si="1"/>
        <v>149.39203657933763</v>
      </c>
      <c r="M17" s="68">
        <f t="shared" si="4"/>
        <v>143.73400000000004</v>
      </c>
      <c r="N17" s="68">
        <f t="shared" si="5"/>
        <v>142.62980227385074</v>
      </c>
      <c r="O17" s="68">
        <f t="shared" si="2"/>
        <v>145.57592189817106</v>
      </c>
      <c r="P17" s="68">
        <f t="shared" si="6"/>
        <v>149.33271873455266</v>
      </c>
      <c r="Q17" s="37">
        <f t="shared" si="7"/>
        <v>149.39203657933763</v>
      </c>
    </row>
    <row r="18" spans="2:17" x14ac:dyDescent="0.2">
      <c r="F18" s="13"/>
      <c r="G18" s="13"/>
      <c r="H18" s="13"/>
      <c r="J18" s="69">
        <f t="shared" si="3"/>
        <v>140</v>
      </c>
      <c r="K18" s="69">
        <f t="shared" si="0"/>
        <v>152.83000000000001</v>
      </c>
      <c r="L18" s="68">
        <f t="shared" si="1"/>
        <v>149.44888284725658</v>
      </c>
      <c r="M18" s="68">
        <f t="shared" si="4"/>
        <v>148.73400000000001</v>
      </c>
      <c r="N18" s="68">
        <f t="shared" si="5"/>
        <v>147.62980227385071</v>
      </c>
      <c r="O18" s="68">
        <f t="shared" si="2"/>
        <v>145.63276816608999</v>
      </c>
      <c r="P18" s="68">
        <f t="shared" si="6"/>
        <v>149.44888284725658</v>
      </c>
      <c r="Q18" s="37">
        <f t="shared" si="7"/>
        <v>152.83000000000001</v>
      </c>
    </row>
    <row r="19" spans="2:17" x14ac:dyDescent="0.2">
      <c r="B19" s="156" t="s">
        <v>6</v>
      </c>
      <c r="C19" s="156"/>
      <c r="D19" s="156"/>
      <c r="F19" s="156" t="s">
        <v>14</v>
      </c>
      <c r="G19" s="156"/>
      <c r="H19" s="156"/>
      <c r="J19" s="69">
        <f t="shared" si="3"/>
        <v>145</v>
      </c>
      <c r="K19" s="69">
        <f t="shared" si="0"/>
        <v>157.83000000000001</v>
      </c>
      <c r="L19" s="68">
        <f t="shared" si="1"/>
        <v>149.50572911517551</v>
      </c>
      <c r="M19" s="68">
        <f t="shared" si="4"/>
        <v>153.73400000000001</v>
      </c>
      <c r="N19" s="68">
        <f t="shared" si="5"/>
        <v>152.62980227385071</v>
      </c>
      <c r="O19" s="68">
        <f t="shared" si="2"/>
        <v>148.59618882847258</v>
      </c>
      <c r="P19" s="68">
        <f t="shared" si="6"/>
        <v>149.44641127039051</v>
      </c>
      <c r="Q19" s="37">
        <f t="shared" si="7"/>
        <v>157.83000000000001</v>
      </c>
    </row>
    <row r="20" spans="2:17" ht="13.5" thickBot="1" x14ac:dyDescent="0.25">
      <c r="B20" s="16" t="s">
        <v>7</v>
      </c>
      <c r="C20" s="16" t="s">
        <v>8</v>
      </c>
      <c r="D20" s="16" t="s">
        <v>9</v>
      </c>
      <c r="F20" s="13" t="s">
        <v>16</v>
      </c>
      <c r="G20" s="13"/>
      <c r="H20" s="16" t="s">
        <v>31</v>
      </c>
      <c r="J20" s="70">
        <f t="shared" si="3"/>
        <v>150</v>
      </c>
      <c r="K20" s="70">
        <f t="shared" si="0"/>
        <v>162.83000000000001</v>
      </c>
      <c r="L20" s="71">
        <f t="shared" si="1"/>
        <v>149.56257538309444</v>
      </c>
      <c r="M20" s="72">
        <f t="shared" si="4"/>
        <v>158.73400000000001</v>
      </c>
      <c r="N20" s="71">
        <f t="shared" si="5"/>
        <v>157.62980227385071</v>
      </c>
      <c r="O20" s="71">
        <f t="shared" si="2"/>
        <v>153.59618882847258</v>
      </c>
      <c r="P20" s="71">
        <f t="shared" si="6"/>
        <v>149.50325753830947</v>
      </c>
      <c r="Q20" s="32">
        <f t="shared" si="7"/>
        <v>162.83000000000001</v>
      </c>
    </row>
    <row r="21" spans="2:17" ht="13.5" thickBot="1" x14ac:dyDescent="0.25">
      <c r="B21" s="17" t="s">
        <v>17</v>
      </c>
      <c r="C21" s="17" t="s">
        <v>17</v>
      </c>
      <c r="D21" s="17" t="s">
        <v>17</v>
      </c>
      <c r="E21" s="7"/>
      <c r="F21" s="17" t="s">
        <v>17</v>
      </c>
      <c r="G21" s="20" t="s">
        <v>18</v>
      </c>
      <c r="H21" s="17" t="s">
        <v>17</v>
      </c>
      <c r="J21" s="65">
        <v>5</v>
      </c>
      <c r="K21" s="5" t="s">
        <v>2</v>
      </c>
      <c r="N21" s="12"/>
      <c r="O21" s="30"/>
      <c r="P21" s="30"/>
      <c r="Q21" s="33" t="s">
        <v>36</v>
      </c>
    </row>
    <row r="22" spans="2:17" x14ac:dyDescent="0.2">
      <c r="B22" s="18">
        <f t="shared" ref="B22:B27" si="8">B23-2</f>
        <v>126</v>
      </c>
      <c r="C22" s="58"/>
      <c r="D22" s="58"/>
      <c r="F22" s="61">
        <v>149.6</v>
      </c>
      <c r="G22" s="21">
        <f>F22/H$16</f>
        <v>0.99487929773226036</v>
      </c>
      <c r="H22" s="61">
        <v>7.5019999999999998</v>
      </c>
    </row>
    <row r="23" spans="2:17" ht="13.5" thickBot="1" x14ac:dyDescent="0.25">
      <c r="B23" s="34">
        <f t="shared" si="8"/>
        <v>128</v>
      </c>
      <c r="C23" s="62"/>
      <c r="D23" s="62"/>
      <c r="F23" s="35">
        <f>ROUND(F22-M$113,3)</f>
        <v>147.4</v>
      </c>
      <c r="G23" s="36">
        <f t="shared" ref="G23:G34" si="9">F23/H$16</f>
        <v>0.98024871982443307</v>
      </c>
      <c r="H23" s="62">
        <v>6.4969999999999999</v>
      </c>
      <c r="K23" s="50" t="s">
        <v>0</v>
      </c>
      <c r="L23" s="50" t="s">
        <v>50</v>
      </c>
      <c r="M23" s="51" t="str">
        <f>"LRP, ($"&amp;FIXED(M6,0)&amp;")"</f>
        <v>LRP, ($141)</v>
      </c>
      <c r="N23" s="51" t="str">
        <f>"Put, ($"&amp;FIXED(N6,0)&amp;")"</f>
        <v>Put, ($134)</v>
      </c>
      <c r="O23" s="51" t="str">
        <f>"Hedge &amp; Call, ($"&amp;FIXED(O6,0)&amp;")"</f>
        <v>Hedge &amp; Call, ($142)</v>
      </c>
      <c r="P23" s="51" t="str">
        <f>"Put &amp; Call, ($"&amp;FIXED(P6,0)&amp;"/$"&amp;FIXED(Q6,0)&amp;")"</f>
        <v>Put &amp; Call, ($140/$140)</v>
      </c>
      <c r="Q23" s="51"/>
    </row>
    <row r="24" spans="2:17" x14ac:dyDescent="0.2">
      <c r="B24" s="34">
        <f t="shared" si="8"/>
        <v>130</v>
      </c>
      <c r="C24" s="62"/>
      <c r="D24" s="62"/>
      <c r="F24" s="35">
        <f t="shared" ref="F24:F33" si="10">ROUND(F23-M$113,3)</f>
        <v>145.19999999999999</v>
      </c>
      <c r="G24" s="36">
        <f t="shared" si="9"/>
        <v>0.96561814191660555</v>
      </c>
      <c r="H24" s="62">
        <v>5.5919999999999996</v>
      </c>
    </row>
    <row r="25" spans="2:17" x14ac:dyDescent="0.2">
      <c r="B25" s="34">
        <f t="shared" si="8"/>
        <v>132</v>
      </c>
      <c r="C25" s="62"/>
      <c r="D25" s="62"/>
      <c r="F25" s="35">
        <f t="shared" si="10"/>
        <v>143</v>
      </c>
      <c r="G25" s="36">
        <f t="shared" si="9"/>
        <v>0.95098756400877826</v>
      </c>
      <c r="H25" s="62">
        <v>4.8140000000000001</v>
      </c>
    </row>
    <row r="26" spans="2:17" x14ac:dyDescent="0.2">
      <c r="B26" s="34">
        <f t="shared" si="8"/>
        <v>134</v>
      </c>
      <c r="C26" s="62">
        <v>5.2</v>
      </c>
      <c r="D26" s="62">
        <v>7.9</v>
      </c>
      <c r="F26" s="35">
        <f t="shared" si="10"/>
        <v>140.80000000000001</v>
      </c>
      <c r="G26" s="36">
        <f t="shared" si="9"/>
        <v>0.93635698610095108</v>
      </c>
      <c r="H26" s="62">
        <v>4.0960000000000001</v>
      </c>
    </row>
    <row r="27" spans="2:17" x14ac:dyDescent="0.2">
      <c r="B27" s="34">
        <f t="shared" si="8"/>
        <v>136</v>
      </c>
      <c r="C27" s="62">
        <v>6</v>
      </c>
      <c r="D27" s="62">
        <v>6.7</v>
      </c>
      <c r="F27" s="35">
        <f t="shared" si="10"/>
        <v>138.6</v>
      </c>
      <c r="G27" s="36">
        <f t="shared" si="9"/>
        <v>0.92172640819312357</v>
      </c>
      <c r="H27" s="62">
        <v>3.4990000000000001</v>
      </c>
    </row>
    <row r="28" spans="2:17" x14ac:dyDescent="0.2">
      <c r="B28" s="34">
        <f>EVEN(ROUND(H14,0))</f>
        <v>138</v>
      </c>
      <c r="C28" s="62">
        <v>6.9249999999999998</v>
      </c>
      <c r="D28" s="62">
        <v>5.625</v>
      </c>
      <c r="F28" s="35">
        <f t="shared" si="10"/>
        <v>136.4</v>
      </c>
      <c r="G28" s="36">
        <f t="shared" si="9"/>
        <v>0.90709583028529628</v>
      </c>
      <c r="H28" s="62">
        <v>2.9689999999999999</v>
      </c>
    </row>
    <row r="29" spans="2:17" x14ac:dyDescent="0.2">
      <c r="B29" s="34">
        <f t="shared" ref="B29:B34" si="11">B28+2</f>
        <v>140</v>
      </c>
      <c r="C29" s="62">
        <v>7.95</v>
      </c>
      <c r="D29" s="62">
        <v>4.6500000000000004</v>
      </c>
      <c r="F29" s="35">
        <f t="shared" si="10"/>
        <v>134.19999999999999</v>
      </c>
      <c r="G29" s="36">
        <f t="shared" si="9"/>
        <v>0.89246525237746877</v>
      </c>
      <c r="H29" s="62">
        <v>2.532</v>
      </c>
    </row>
    <row r="30" spans="2:17" x14ac:dyDescent="0.2">
      <c r="B30" s="34">
        <f t="shared" si="11"/>
        <v>142</v>
      </c>
      <c r="C30" s="62">
        <v>9.1</v>
      </c>
      <c r="D30" s="62">
        <v>3.8</v>
      </c>
      <c r="F30" s="35">
        <f t="shared" si="10"/>
        <v>132</v>
      </c>
      <c r="G30" s="36">
        <f t="shared" si="9"/>
        <v>0.87783467446964147</v>
      </c>
      <c r="H30" s="62">
        <v>2.1549999999999998</v>
      </c>
    </row>
    <row r="31" spans="2:17" x14ac:dyDescent="0.2">
      <c r="B31" s="34">
        <f t="shared" si="11"/>
        <v>144</v>
      </c>
      <c r="C31" s="62"/>
      <c r="D31" s="62"/>
      <c r="F31" s="35">
        <f t="shared" si="10"/>
        <v>129.80000000000001</v>
      </c>
      <c r="G31" s="36">
        <f t="shared" si="9"/>
        <v>0.86320409656181429</v>
      </c>
      <c r="H31" s="62">
        <v>1.8129999999999999</v>
      </c>
    </row>
    <row r="32" spans="2:17" x14ac:dyDescent="0.2">
      <c r="B32" s="34">
        <f t="shared" si="11"/>
        <v>146</v>
      </c>
      <c r="C32" s="62"/>
      <c r="D32" s="62"/>
      <c r="F32" s="35">
        <f t="shared" si="10"/>
        <v>127.6</v>
      </c>
      <c r="G32" s="36">
        <f t="shared" si="9"/>
        <v>0.84857351865398678</v>
      </c>
      <c r="H32" s="62"/>
    </row>
    <row r="33" spans="2:17" x14ac:dyDescent="0.2">
      <c r="B33" s="34">
        <f t="shared" si="11"/>
        <v>148</v>
      </c>
      <c r="C33" s="59"/>
      <c r="D33" s="59"/>
      <c r="F33" s="35">
        <f t="shared" si="10"/>
        <v>125.4</v>
      </c>
      <c r="G33" s="36">
        <f t="shared" si="9"/>
        <v>0.83394294074615949</v>
      </c>
      <c r="H33" s="62"/>
    </row>
    <row r="34" spans="2:17" ht="13.5" thickBot="1" x14ac:dyDescent="0.25">
      <c r="B34" s="19">
        <f t="shared" si="11"/>
        <v>150</v>
      </c>
      <c r="C34" s="60"/>
      <c r="D34" s="60"/>
      <c r="E34" s="7"/>
      <c r="F34" s="83">
        <f>ROUND(F33-M$113,3)</f>
        <v>123.2</v>
      </c>
      <c r="G34" s="22">
        <f t="shared" si="9"/>
        <v>0.81931236283833209</v>
      </c>
      <c r="H34" s="63"/>
    </row>
    <row r="35" spans="2:17" ht="13.5" thickBot="1" x14ac:dyDescent="0.25"/>
    <row r="36" spans="2:17" x14ac:dyDescent="0.2">
      <c r="B36" s="23" t="s">
        <v>39</v>
      </c>
      <c r="C36" s="24"/>
      <c r="D36" s="24"/>
      <c r="E36" s="24"/>
      <c r="F36" s="24"/>
      <c r="G36" s="24"/>
      <c r="H36" s="85"/>
    </row>
    <row r="37" spans="2:17" x14ac:dyDescent="0.2">
      <c r="B37" s="149" t="s">
        <v>82</v>
      </c>
      <c r="C37" s="150"/>
      <c r="D37" s="150"/>
      <c r="E37" s="150"/>
      <c r="F37" s="150"/>
      <c r="G37" s="26"/>
      <c r="H37" s="86"/>
    </row>
    <row r="38" spans="2:17" x14ac:dyDescent="0.2">
      <c r="B38" s="149" t="s">
        <v>81</v>
      </c>
      <c r="C38" s="150"/>
      <c r="D38" s="150"/>
      <c r="E38" s="88"/>
      <c r="F38" s="26"/>
      <c r="G38" s="26"/>
      <c r="H38" s="86"/>
    </row>
    <row r="39" spans="2:17" x14ac:dyDescent="0.2">
      <c r="B39" s="25" t="s">
        <v>34</v>
      </c>
      <c r="C39" s="26"/>
      <c r="D39" s="26"/>
      <c r="E39" s="26"/>
      <c r="F39" s="26"/>
      <c r="G39" s="26"/>
      <c r="H39" s="86"/>
    </row>
    <row r="40" spans="2:17" x14ac:dyDescent="0.2">
      <c r="B40" s="153" t="s">
        <v>80</v>
      </c>
      <c r="C40" s="154"/>
      <c r="D40" s="154"/>
      <c r="E40" s="154"/>
      <c r="F40" s="154"/>
      <c r="G40" s="154"/>
      <c r="H40" s="155"/>
    </row>
    <row r="41" spans="2:17" x14ac:dyDescent="0.2">
      <c r="B41" s="27" t="s">
        <v>33</v>
      </c>
      <c r="C41" s="26"/>
      <c r="D41" s="26"/>
      <c r="E41" s="26"/>
      <c r="F41" s="26"/>
      <c r="G41" s="26"/>
      <c r="H41" s="86"/>
    </row>
    <row r="42" spans="2:17" ht="13.5" thickBot="1" x14ac:dyDescent="0.25">
      <c r="B42" s="151" t="s">
        <v>90</v>
      </c>
      <c r="C42" s="152"/>
      <c r="D42" s="152"/>
      <c r="E42" s="152"/>
      <c r="F42" s="152"/>
      <c r="G42" s="28"/>
      <c r="H42" s="87"/>
    </row>
    <row r="43" spans="2:17" ht="13.5" thickBot="1" x14ac:dyDescent="0.25">
      <c r="B43" s="7"/>
      <c r="C43" s="7"/>
      <c r="D43" s="7"/>
      <c r="E43" s="7"/>
      <c r="F43" s="7"/>
      <c r="G43" s="7"/>
      <c r="H43" s="7"/>
      <c r="I43" s="7"/>
      <c r="J43" s="7"/>
      <c r="K43" s="7"/>
      <c r="L43" s="7"/>
      <c r="M43" s="7"/>
      <c r="N43" s="7"/>
      <c r="O43" s="7"/>
      <c r="P43" s="7"/>
      <c r="Q43" s="7"/>
    </row>
    <row r="44" spans="2:17" x14ac:dyDescent="0.2">
      <c r="B44" s="15" t="s">
        <v>30</v>
      </c>
      <c r="Q44" s="44"/>
    </row>
    <row r="45" spans="2:17" x14ac:dyDescent="0.2">
      <c r="F45" s="76" t="s">
        <v>65</v>
      </c>
      <c r="G45" s="74" t="s">
        <v>67</v>
      </c>
    </row>
    <row r="46" spans="2:17" x14ac:dyDescent="0.2">
      <c r="F46" s="76" t="s">
        <v>27</v>
      </c>
      <c r="G46" s="74" t="s">
        <v>28</v>
      </c>
    </row>
    <row r="47" spans="2:17" x14ac:dyDescent="0.2">
      <c r="G47" s="74"/>
    </row>
    <row r="48" spans="2:17" ht="13.5" thickBot="1" x14ac:dyDescent="0.25">
      <c r="G48" s="75"/>
    </row>
    <row r="49" spans="2:17" x14ac:dyDescent="0.2">
      <c r="B49" s="73"/>
      <c r="C49" s="73"/>
      <c r="D49" s="73"/>
      <c r="E49" s="73"/>
      <c r="F49" s="73"/>
      <c r="G49" s="73"/>
      <c r="H49" s="73"/>
      <c r="I49" s="73"/>
      <c r="J49" s="73"/>
      <c r="K49" s="73"/>
      <c r="L49" s="73"/>
      <c r="M49" s="73"/>
      <c r="N49" s="73"/>
      <c r="O49" s="73"/>
      <c r="P49" s="73"/>
      <c r="Q49" s="73"/>
    </row>
    <row r="52" spans="2:17" x14ac:dyDescent="0.2">
      <c r="D52" s="29"/>
    </row>
    <row r="101" spans="2:14" x14ac:dyDescent="0.2">
      <c r="B101" s="45" t="s">
        <v>47</v>
      </c>
      <c r="C101" s="45"/>
      <c r="D101" s="45"/>
      <c r="E101" s="45"/>
      <c r="F101" s="45"/>
      <c r="G101" s="45"/>
      <c r="H101" s="45"/>
      <c r="I101" s="45"/>
      <c r="J101" s="45"/>
      <c r="K101" s="45"/>
      <c r="L101" s="45"/>
      <c r="M101" s="45"/>
      <c r="N101" s="45"/>
    </row>
    <row r="103" spans="2:14" x14ac:dyDescent="0.2">
      <c r="B103" s="13" t="s">
        <v>37</v>
      </c>
      <c r="C103" s="13"/>
      <c r="D103" s="16" t="s">
        <v>31</v>
      </c>
      <c r="L103" s="78" t="s">
        <v>61</v>
      </c>
      <c r="M103" s="78" t="s">
        <v>61</v>
      </c>
    </row>
    <row r="104" spans="2:14" ht="13.5" thickBot="1" x14ac:dyDescent="0.25">
      <c r="B104" s="17" t="s">
        <v>17</v>
      </c>
      <c r="C104" s="20" t="s">
        <v>18</v>
      </c>
      <c r="D104" s="17" t="s">
        <v>17</v>
      </c>
      <c r="F104" s="7" t="s">
        <v>40</v>
      </c>
      <c r="G104" s="7"/>
      <c r="H104" s="17" t="s">
        <v>58</v>
      </c>
      <c r="I104" s="7"/>
      <c r="J104" s="17" t="s">
        <v>59</v>
      </c>
      <c r="K104" s="17" t="s">
        <v>60</v>
      </c>
      <c r="L104" s="17" t="s">
        <v>62</v>
      </c>
      <c r="M104" s="17" t="s">
        <v>63</v>
      </c>
      <c r="N104" s="7"/>
    </row>
    <row r="105" spans="2:14" x14ac:dyDescent="0.2">
      <c r="B105" s="9">
        <f>F34</f>
        <v>123.2</v>
      </c>
      <c r="C105" s="40">
        <f t="shared" ref="C105:C117" si="12">B105/H$16</f>
        <v>0.81931236283833209</v>
      </c>
      <c r="D105" s="39" t="str">
        <f>IF(H34=0,"n/a",H34)</f>
        <v>n/a</v>
      </c>
      <c r="F105" s="5" t="s">
        <v>41</v>
      </c>
      <c r="G105" s="5" t="s">
        <v>55</v>
      </c>
      <c r="H105" s="16">
        <f t="shared" ref="H105:H112" si="13">IF(H$9=F105,1,0)</f>
        <v>1</v>
      </c>
      <c r="J105" s="16">
        <f>IF(H$6&lt;L$115,1,0)</f>
        <v>1</v>
      </c>
      <c r="K105" s="16">
        <f>H105*J105</f>
        <v>1</v>
      </c>
      <c r="L105" s="48">
        <v>1.1000000000000001</v>
      </c>
      <c r="M105" s="48">
        <v>2.2000000000000002</v>
      </c>
      <c r="N105" s="47"/>
    </row>
    <row r="106" spans="2:14" x14ac:dyDescent="0.2">
      <c r="B106" s="9">
        <f>F33</f>
        <v>125.4</v>
      </c>
      <c r="C106" s="40">
        <f t="shared" si="12"/>
        <v>0.83394294074615949</v>
      </c>
      <c r="D106" s="39" t="str">
        <f>IF(H33=0,"n/a",H33)</f>
        <v>n/a</v>
      </c>
      <c r="F106" s="5" t="s">
        <v>41</v>
      </c>
      <c r="G106" s="5" t="s">
        <v>56</v>
      </c>
      <c r="H106" s="16">
        <f t="shared" si="13"/>
        <v>1</v>
      </c>
      <c r="J106" s="16">
        <f>IF(H$6&gt;=L$115,1,0)</f>
        <v>0</v>
      </c>
      <c r="K106" s="16">
        <f t="shared" ref="K106:K112" si="14">H106*J106</f>
        <v>0</v>
      </c>
      <c r="L106" s="48">
        <v>1</v>
      </c>
      <c r="M106" s="48">
        <v>2</v>
      </c>
    </row>
    <row r="107" spans="2:14" x14ac:dyDescent="0.2">
      <c r="B107" s="9">
        <f>F32</f>
        <v>127.6</v>
      </c>
      <c r="C107" s="40">
        <f t="shared" si="12"/>
        <v>0.84857351865398678</v>
      </c>
      <c r="D107" s="39" t="str">
        <f>IF(H32=0,"n/a",H32)</f>
        <v>n/a</v>
      </c>
      <c r="F107" s="5" t="s">
        <v>42</v>
      </c>
      <c r="G107" s="5" t="s">
        <v>55</v>
      </c>
      <c r="H107" s="16">
        <f t="shared" si="13"/>
        <v>0</v>
      </c>
      <c r="J107" s="16">
        <f>IF(H$6&lt;L$115,1,0)</f>
        <v>1</v>
      </c>
      <c r="K107" s="16">
        <f t="shared" si="14"/>
        <v>0</v>
      </c>
      <c r="L107" s="48">
        <v>1</v>
      </c>
      <c r="M107" s="48">
        <v>2</v>
      </c>
      <c r="N107" s="47"/>
    </row>
    <row r="108" spans="2:14" x14ac:dyDescent="0.2">
      <c r="B108" s="9">
        <f>F31</f>
        <v>129.80000000000001</v>
      </c>
      <c r="C108" s="40">
        <f t="shared" si="12"/>
        <v>0.86320409656181429</v>
      </c>
      <c r="D108" s="39">
        <f>IF(H31=0,"n/a",H31)</f>
        <v>1.8129999999999999</v>
      </c>
      <c r="F108" s="5" t="s">
        <v>42</v>
      </c>
      <c r="G108" s="5" t="s">
        <v>56</v>
      </c>
      <c r="H108" s="16">
        <f t="shared" si="13"/>
        <v>0</v>
      </c>
      <c r="J108" s="16">
        <f>IF(H$6&gt;=L$115,1,0)</f>
        <v>0</v>
      </c>
      <c r="K108" s="16">
        <f t="shared" si="14"/>
        <v>0</v>
      </c>
      <c r="L108" s="48">
        <v>0.9</v>
      </c>
      <c r="M108" s="48">
        <v>1.8</v>
      </c>
    </row>
    <row r="109" spans="2:14" x14ac:dyDescent="0.2">
      <c r="B109" s="9">
        <f>F30</f>
        <v>132</v>
      </c>
      <c r="C109" s="40">
        <f t="shared" si="12"/>
        <v>0.87783467446964147</v>
      </c>
      <c r="D109" s="39">
        <f>IF(H30=0,"n/a",H30)</f>
        <v>2.1549999999999998</v>
      </c>
      <c r="F109" s="5" t="s">
        <v>43</v>
      </c>
      <c r="G109" s="5" t="s">
        <v>55</v>
      </c>
      <c r="H109" s="16">
        <f t="shared" si="13"/>
        <v>0</v>
      </c>
      <c r="J109" s="16">
        <f>IF(H$6&lt;L$115,1,0)</f>
        <v>1</v>
      </c>
      <c r="K109" s="16">
        <f t="shared" si="14"/>
        <v>0</v>
      </c>
      <c r="L109" s="48">
        <v>1</v>
      </c>
      <c r="M109" s="48">
        <v>2</v>
      </c>
      <c r="N109" s="47"/>
    </row>
    <row r="110" spans="2:14" x14ac:dyDescent="0.2">
      <c r="B110" s="9">
        <f>F29</f>
        <v>134.19999999999999</v>
      </c>
      <c r="C110" s="40">
        <f t="shared" si="12"/>
        <v>0.89246525237746877</v>
      </c>
      <c r="D110" s="39">
        <f>IF(H29=0,"n/a",H29)</f>
        <v>2.532</v>
      </c>
      <c r="F110" s="5" t="s">
        <v>43</v>
      </c>
      <c r="G110" s="5" t="s">
        <v>57</v>
      </c>
      <c r="H110" s="16">
        <f t="shared" si="13"/>
        <v>0</v>
      </c>
      <c r="J110" s="16">
        <f>IF(H$6&gt;=L$115,1,0)</f>
        <v>0</v>
      </c>
      <c r="K110" s="16">
        <f t="shared" si="14"/>
        <v>0</v>
      </c>
      <c r="L110" s="48">
        <v>0.9</v>
      </c>
      <c r="M110" s="48">
        <v>1.8</v>
      </c>
    </row>
    <row r="111" spans="2:14" x14ac:dyDescent="0.2">
      <c r="B111" s="9">
        <f>F28</f>
        <v>136.4</v>
      </c>
      <c r="C111" s="40">
        <f t="shared" si="12"/>
        <v>0.90709583028529628</v>
      </c>
      <c r="D111" s="39">
        <f>IF(H28=0,"n/a",H28)</f>
        <v>2.9689999999999999</v>
      </c>
      <c r="F111" s="5" t="s">
        <v>44</v>
      </c>
      <c r="G111" s="5" t="s">
        <v>55</v>
      </c>
      <c r="H111" s="16">
        <f t="shared" si="13"/>
        <v>0</v>
      </c>
      <c r="J111" s="16">
        <f>IF(H$6&lt;L$115,1,0)</f>
        <v>1</v>
      </c>
      <c r="K111" s="16">
        <f t="shared" si="14"/>
        <v>0</v>
      </c>
      <c r="L111" s="48">
        <v>1</v>
      </c>
      <c r="M111" s="48">
        <v>1.7</v>
      </c>
      <c r="N111" s="47"/>
    </row>
    <row r="112" spans="2:14" x14ac:dyDescent="0.2">
      <c r="B112" s="9">
        <f>F27</f>
        <v>138.6</v>
      </c>
      <c r="C112" s="40">
        <f t="shared" si="12"/>
        <v>0.92172640819312357</v>
      </c>
      <c r="D112" s="39">
        <f>IF(H27=0,"n/a",H27)</f>
        <v>3.4990000000000001</v>
      </c>
      <c r="F112" s="5" t="s">
        <v>44</v>
      </c>
      <c r="G112" s="5" t="s">
        <v>56</v>
      </c>
      <c r="H112" s="16">
        <f t="shared" si="13"/>
        <v>0</v>
      </c>
      <c r="J112" s="16">
        <f>IF(H$6&gt;=L$115,1,0)</f>
        <v>0</v>
      </c>
      <c r="K112" s="16">
        <f t="shared" si="14"/>
        <v>0</v>
      </c>
      <c r="L112" s="48">
        <v>0.8</v>
      </c>
      <c r="M112" s="48">
        <v>1.6</v>
      </c>
    </row>
    <row r="113" spans="2:14" x14ac:dyDescent="0.2">
      <c r="B113" s="9">
        <f>F26</f>
        <v>140.80000000000001</v>
      </c>
      <c r="C113" s="40">
        <f t="shared" si="12"/>
        <v>0.93635698610095108</v>
      </c>
      <c r="D113" s="39">
        <f>IF(H26=0,"n/a",H26)</f>
        <v>4.0960000000000001</v>
      </c>
      <c r="F113" s="81" t="s">
        <v>48</v>
      </c>
      <c r="G113" s="81"/>
      <c r="H113" s="81"/>
      <c r="I113" s="81"/>
      <c r="J113" s="81"/>
      <c r="K113" s="81"/>
      <c r="L113" s="82">
        <f>SUMPRODUCT(K105:K112,L105:L112)</f>
        <v>1.1000000000000001</v>
      </c>
      <c r="M113" s="82">
        <f>SUMPRODUCT(K105:K112,M105:M112)</f>
        <v>2.2000000000000002</v>
      </c>
      <c r="N113" s="81"/>
    </row>
    <row r="114" spans="2:14" x14ac:dyDescent="0.2">
      <c r="B114" s="9">
        <f>F25</f>
        <v>143</v>
      </c>
      <c r="C114" s="40">
        <f t="shared" si="12"/>
        <v>0.95098756400877826</v>
      </c>
      <c r="D114" s="39">
        <f>IF(H25=0,"n/a",H25)</f>
        <v>4.8140000000000001</v>
      </c>
    </row>
    <row r="115" spans="2:14" x14ac:dyDescent="0.2">
      <c r="B115" s="9">
        <f>F24</f>
        <v>145.19999999999999</v>
      </c>
      <c r="C115" s="40">
        <f t="shared" si="12"/>
        <v>0.96561814191660555</v>
      </c>
      <c r="D115" s="39">
        <f>IF(H24=0,"n/a",H24)</f>
        <v>5.5919999999999996</v>
      </c>
      <c r="F115" s="5" t="s">
        <v>45</v>
      </c>
      <c r="L115" s="49">
        <v>600</v>
      </c>
    </row>
    <row r="116" spans="2:14" x14ac:dyDescent="0.2">
      <c r="B116" s="9">
        <f>F23</f>
        <v>147.4</v>
      </c>
      <c r="C116" s="40">
        <f t="shared" si="12"/>
        <v>0.98024871982443307</v>
      </c>
      <c r="D116" s="39">
        <f>IF(H23=0,"n/a",H23)</f>
        <v>6.4969999999999999</v>
      </c>
      <c r="F116" s="5" t="s">
        <v>46</v>
      </c>
      <c r="L116" s="49">
        <v>900</v>
      </c>
    </row>
    <row r="117" spans="2:14" ht="13.5" thickBot="1" x14ac:dyDescent="0.25">
      <c r="B117" s="14">
        <f>F22</f>
        <v>149.6</v>
      </c>
      <c r="C117" s="41">
        <f t="shared" si="12"/>
        <v>0.99487929773226036</v>
      </c>
      <c r="D117" s="42">
        <f>IF(H22=0,"n/a",H22)</f>
        <v>7.5019999999999998</v>
      </c>
      <c r="F117" s="79" t="s">
        <v>5</v>
      </c>
      <c r="G117" s="7"/>
      <c r="H117" s="7"/>
      <c r="I117" s="7"/>
      <c r="J117" s="7"/>
      <c r="K117" s="7"/>
      <c r="L117" s="80">
        <v>50000</v>
      </c>
      <c r="M117" s="7"/>
      <c r="N117" s="7"/>
    </row>
    <row r="120" spans="2:14" x14ac:dyDescent="0.2">
      <c r="B120" s="46"/>
    </row>
    <row r="122" spans="2:14" x14ac:dyDescent="0.2">
      <c r="B122" s="46"/>
    </row>
    <row r="123" spans="2:14" x14ac:dyDescent="0.2">
      <c r="B123" s="46"/>
    </row>
    <row r="124" spans="2:14" x14ac:dyDescent="0.2">
      <c r="B124" s="46"/>
    </row>
    <row r="125" spans="2:14" x14ac:dyDescent="0.2">
      <c r="B125" s="46"/>
    </row>
    <row r="126" spans="2:14" x14ac:dyDescent="0.2">
      <c r="B126" s="46"/>
    </row>
    <row r="127" spans="2:14" x14ac:dyDescent="0.2">
      <c r="B127" s="46"/>
    </row>
    <row r="128" spans="2:14" x14ac:dyDescent="0.2">
      <c r="B128" s="46"/>
    </row>
    <row r="129" spans="2:2" x14ac:dyDescent="0.2">
      <c r="B129" s="46"/>
    </row>
    <row r="130" spans="2:2" x14ac:dyDescent="0.2">
      <c r="B130" s="46"/>
    </row>
    <row r="131" spans="2:2" x14ac:dyDescent="0.2">
      <c r="B131" s="46"/>
    </row>
    <row r="132" spans="2:2" x14ac:dyDescent="0.2">
      <c r="B132" s="46"/>
    </row>
    <row r="133" spans="2:2" x14ac:dyDescent="0.2">
      <c r="B133" s="46"/>
    </row>
    <row r="134" spans="2:2" x14ac:dyDescent="0.2">
      <c r="B134" s="46"/>
    </row>
    <row r="135" spans="2:2" x14ac:dyDescent="0.2">
      <c r="B135" s="46"/>
    </row>
    <row r="136" spans="2:2" x14ac:dyDescent="0.2">
      <c r="B136" s="46"/>
    </row>
    <row r="137" spans="2:2" x14ac:dyDescent="0.2">
      <c r="B137" s="46"/>
    </row>
    <row r="138" spans="2:2" x14ac:dyDescent="0.2">
      <c r="B138" s="46"/>
    </row>
    <row r="139" spans="2:2" x14ac:dyDescent="0.2">
      <c r="B139" s="46"/>
    </row>
    <row r="140" spans="2:2" x14ac:dyDescent="0.2">
      <c r="B140" s="46"/>
    </row>
    <row r="141" spans="2:2" x14ac:dyDescent="0.2">
      <c r="B141" s="46"/>
    </row>
    <row r="142" spans="2:2" x14ac:dyDescent="0.2">
      <c r="B142" s="46"/>
    </row>
    <row r="143" spans="2:2" x14ac:dyDescent="0.2">
      <c r="B143" s="46"/>
    </row>
    <row r="144" spans="2:2" x14ac:dyDescent="0.2">
      <c r="B144" s="46"/>
    </row>
    <row r="145" spans="2:2" x14ac:dyDescent="0.2">
      <c r="B145" s="46"/>
    </row>
    <row r="146" spans="2:2" x14ac:dyDescent="0.2">
      <c r="B146" s="46"/>
    </row>
    <row r="147" spans="2:2" x14ac:dyDescent="0.2">
      <c r="B147" s="46"/>
    </row>
    <row r="148" spans="2:2" x14ac:dyDescent="0.2">
      <c r="B148" s="46"/>
    </row>
    <row r="149" spans="2:2" x14ac:dyDescent="0.2">
      <c r="B149" s="46"/>
    </row>
    <row r="150" spans="2:2" x14ac:dyDescent="0.2">
      <c r="B150" s="46"/>
    </row>
    <row r="151" spans="2:2" x14ac:dyDescent="0.2">
      <c r="B151" s="46"/>
    </row>
    <row r="152" spans="2:2" x14ac:dyDescent="0.2">
      <c r="B152" s="46"/>
    </row>
  </sheetData>
  <sheetProtection algorithmName="SHA-512" hashValue="w1Mr3zAG5sOvyyMJsLIaTJECJBeLv5DLqKzRz/n8SPlIxglxpQOOO29IiT1/Atjoc+c+niRwJ50NbuQRAyc+hQ==" saltValue="k4i4T2UUmSKUng49j4NoKg==" spinCount="100000" sheet="1" objects="1" scenarios="1"/>
  <mergeCells count="19">
    <mergeCell ref="B42:F42"/>
    <mergeCell ref="B40:H40"/>
    <mergeCell ref="B4:G4"/>
    <mergeCell ref="B9:G9"/>
    <mergeCell ref="B19:D19"/>
    <mergeCell ref="F19:H19"/>
    <mergeCell ref="B5:G5"/>
    <mergeCell ref="B6:G6"/>
    <mergeCell ref="B7:G7"/>
    <mergeCell ref="B15:G15"/>
    <mergeCell ref="B16:G16"/>
    <mergeCell ref="B17:G17"/>
    <mergeCell ref="B14:G14"/>
    <mergeCell ref="B13:G13"/>
    <mergeCell ref="B8:G8"/>
    <mergeCell ref="B11:G11"/>
    <mergeCell ref="B12:G12"/>
    <mergeCell ref="B37:F37"/>
    <mergeCell ref="B38:D38"/>
  </mergeCells>
  <phoneticPr fontId="5" type="noConversion"/>
  <conditionalFormatting sqref="K12:L12 N12:P12">
    <cfRule type="cellIs" dxfId="8" priority="1" stopIfTrue="1" operator="equal">
      <formula>$Q$12</formula>
    </cfRule>
  </conditionalFormatting>
  <conditionalFormatting sqref="K13:P13 M12 M14:M20">
    <cfRule type="cellIs" dxfId="7" priority="2" stopIfTrue="1" operator="equal">
      <formula>$Q$13</formula>
    </cfRule>
  </conditionalFormatting>
  <conditionalFormatting sqref="K14:L14 N14:P14">
    <cfRule type="cellIs" dxfId="6" priority="3" stopIfTrue="1" operator="equal">
      <formula>$Q$14</formula>
    </cfRule>
  </conditionalFormatting>
  <conditionalFormatting sqref="K15:L15 N15:P15">
    <cfRule type="cellIs" dxfId="5" priority="4" stopIfTrue="1" operator="equal">
      <formula>$Q$15</formula>
    </cfRule>
  </conditionalFormatting>
  <conditionalFormatting sqref="K16:L16 N16:P16">
    <cfRule type="cellIs" dxfId="4" priority="5" stopIfTrue="1" operator="equal">
      <formula>$Q$16</formula>
    </cfRule>
  </conditionalFormatting>
  <conditionalFormatting sqref="K17:L17 N17:P17">
    <cfRule type="cellIs" dxfId="3" priority="6" stopIfTrue="1" operator="equal">
      <formula>$Q$17</formula>
    </cfRule>
  </conditionalFormatting>
  <conditionalFormatting sqref="K18:L18 N18:P18">
    <cfRule type="cellIs" dxfId="2" priority="7" stopIfTrue="1" operator="equal">
      <formula>$Q$18</formula>
    </cfRule>
  </conditionalFormatting>
  <conditionalFormatting sqref="K19:L19 N19:P19">
    <cfRule type="cellIs" dxfId="1" priority="8" stopIfTrue="1" operator="equal">
      <formula>$Q$19</formula>
    </cfRule>
  </conditionalFormatting>
  <conditionalFormatting sqref="K20:L20 N20:P20">
    <cfRule type="cellIs" dxfId="0" priority="9" stopIfTrue="1" operator="equal">
      <formula>$Q$20</formula>
    </cfRule>
  </conditionalFormatting>
  <dataValidations count="1">
    <dataValidation type="list" allowBlank="1" showInputMessage="1" showErrorMessage="1" sqref="H9">
      <formula1>$F$105:$F$111</formula1>
    </dataValidation>
  </dataValidations>
  <hyperlinks>
    <hyperlink ref="B40" r:id="rId1"/>
    <hyperlink ref="B37" r:id="rId2"/>
    <hyperlink ref="B38" r:id="rId3"/>
    <hyperlink ref="B42" r:id="rId4"/>
  </hyperlinks>
  <pageMargins left="0.75" right="0.75" top="0.75" bottom="0.75" header="0.5" footer="0.5"/>
  <pageSetup orientation="landscape"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1032" r:id="rId8" name="Button 8">
              <controlPr defaultSize="0" print="0" autoFill="0" autoPict="0" macro="[0]!Report">
                <anchor moveWithCells="1">
                  <from>
                    <xdr:col>15</xdr:col>
                    <xdr:colOff>95250</xdr:colOff>
                    <xdr:row>0</xdr:row>
                    <xdr:rowOff>95250</xdr:rowOff>
                  </from>
                  <to>
                    <xdr:col>16</xdr:col>
                    <xdr:colOff>466725</xdr:colOff>
                    <xdr:row>1</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9"/>
  <sheetViews>
    <sheetView workbookViewId="0">
      <selection activeCell="Q16" sqref="Q16"/>
    </sheetView>
  </sheetViews>
  <sheetFormatPr defaultColWidth="9.140625" defaultRowHeight="12.75" x14ac:dyDescent="0.2"/>
  <cols>
    <col min="1" max="1" width="6.7109375" style="1" customWidth="1"/>
    <col min="2" max="2" width="11.140625" style="1" customWidth="1"/>
    <col min="3" max="12" width="9.140625" style="1"/>
    <col min="13" max="13" width="10" style="1" customWidth="1"/>
    <col min="14" max="16384" width="9.140625" style="1"/>
  </cols>
  <sheetData>
    <row r="2" spans="2:13" ht="15.75" x14ac:dyDescent="0.25">
      <c r="B2" s="158" t="s">
        <v>87</v>
      </c>
      <c r="C2" s="158"/>
      <c r="D2" s="158"/>
      <c r="E2" s="158"/>
      <c r="F2" s="158"/>
      <c r="G2" s="158"/>
      <c r="H2" s="158"/>
      <c r="I2" s="158"/>
      <c r="J2" s="158"/>
      <c r="K2" s="158"/>
      <c r="L2" s="158"/>
      <c r="M2" s="158"/>
    </row>
    <row r="3" spans="2:13" ht="15.75" x14ac:dyDescent="0.25">
      <c r="B3" s="160" t="s">
        <v>83</v>
      </c>
      <c r="C3" s="161"/>
      <c r="D3" s="161"/>
      <c r="E3" s="161"/>
      <c r="F3" s="161"/>
      <c r="G3" s="161"/>
      <c r="H3" s="161"/>
      <c r="I3" s="161"/>
      <c r="J3" s="161"/>
      <c r="K3" s="161"/>
      <c r="L3" s="161"/>
      <c r="M3" s="161"/>
    </row>
    <row r="4" spans="2:13" x14ac:dyDescent="0.2">
      <c r="B4" s="2"/>
      <c r="C4" s="3"/>
      <c r="D4" s="3"/>
      <c r="E4" s="3"/>
      <c r="F4" s="3"/>
      <c r="G4" s="3"/>
      <c r="H4" s="3"/>
      <c r="I4" s="3"/>
      <c r="J4" s="4"/>
    </row>
    <row r="5" spans="2:13" x14ac:dyDescent="0.2">
      <c r="B5" s="2"/>
      <c r="C5" s="3"/>
      <c r="D5" s="3"/>
      <c r="E5" s="3"/>
      <c r="F5" s="3"/>
      <c r="G5" s="3"/>
      <c r="H5" s="3"/>
      <c r="I5" s="3"/>
      <c r="J5" s="4"/>
    </row>
    <row r="6" spans="2:13" x14ac:dyDescent="0.2">
      <c r="B6" s="2"/>
      <c r="C6" s="3"/>
      <c r="D6" s="3"/>
      <c r="E6" s="3"/>
      <c r="F6" s="3"/>
      <c r="G6" s="3"/>
      <c r="H6" s="3"/>
      <c r="I6" s="3"/>
      <c r="J6" s="4"/>
    </row>
    <row r="7" spans="2:13" x14ac:dyDescent="0.2">
      <c r="B7" s="2"/>
      <c r="C7" s="3"/>
      <c r="D7" s="3"/>
      <c r="E7" s="3"/>
      <c r="F7" s="3"/>
      <c r="G7" s="3"/>
      <c r="H7" s="3"/>
      <c r="I7" s="3"/>
      <c r="J7" s="4"/>
    </row>
    <row r="8" spans="2:13" x14ac:dyDescent="0.2">
      <c r="B8" s="2"/>
      <c r="C8" s="3"/>
      <c r="D8" s="3"/>
      <c r="E8" s="3"/>
      <c r="F8" s="3"/>
      <c r="G8" s="3"/>
      <c r="H8" s="3"/>
      <c r="I8" s="3"/>
      <c r="J8" s="4"/>
    </row>
    <row r="9" spans="2:13" x14ac:dyDescent="0.2">
      <c r="B9" s="2"/>
      <c r="C9" s="3"/>
      <c r="D9" s="3"/>
      <c r="E9" s="3"/>
      <c r="F9" s="3"/>
      <c r="G9" s="3"/>
      <c r="H9" s="3"/>
      <c r="I9" s="3"/>
      <c r="J9" s="4"/>
    </row>
    <row r="10" spans="2:13" x14ac:dyDescent="0.2">
      <c r="B10" s="2"/>
      <c r="C10" s="3"/>
      <c r="D10" s="3"/>
      <c r="E10" s="3"/>
      <c r="F10" s="3"/>
      <c r="G10" s="3"/>
      <c r="H10" s="3"/>
      <c r="I10" s="3"/>
      <c r="J10" s="4"/>
    </row>
    <row r="11" spans="2:13" x14ac:dyDescent="0.2">
      <c r="B11" s="2"/>
      <c r="C11" s="3"/>
      <c r="D11" s="3"/>
      <c r="E11" s="3"/>
      <c r="F11" s="3"/>
      <c r="G11" s="3"/>
      <c r="H11" s="3"/>
      <c r="I11" s="3"/>
      <c r="J11" s="4"/>
    </row>
    <row r="12" spans="2:13" x14ac:dyDescent="0.2">
      <c r="B12" s="2"/>
      <c r="C12" s="3"/>
      <c r="D12" s="3"/>
      <c r="E12" s="3"/>
      <c r="F12" s="3"/>
      <c r="G12" s="3"/>
      <c r="H12" s="3"/>
      <c r="I12" s="3"/>
      <c r="J12" s="4"/>
    </row>
    <row r="13" spans="2:13" x14ac:dyDescent="0.2">
      <c r="B13" s="2"/>
      <c r="C13" s="3"/>
      <c r="D13" s="3"/>
      <c r="E13" s="3"/>
      <c r="F13" s="3"/>
      <c r="G13" s="3"/>
      <c r="H13" s="3"/>
      <c r="I13" s="3"/>
      <c r="J13" s="4"/>
    </row>
    <row r="14" spans="2:13" x14ac:dyDescent="0.2">
      <c r="B14" s="2"/>
      <c r="C14" s="3"/>
      <c r="D14" s="3"/>
      <c r="E14" s="3"/>
      <c r="F14" s="3"/>
      <c r="G14" s="3"/>
      <c r="H14" s="3"/>
      <c r="I14" s="3"/>
      <c r="J14" s="4"/>
    </row>
    <row r="15" spans="2:13" x14ac:dyDescent="0.2">
      <c r="B15" s="2"/>
      <c r="C15" s="3"/>
      <c r="D15" s="3"/>
      <c r="E15" s="3"/>
      <c r="F15" s="3"/>
      <c r="G15" s="3"/>
      <c r="H15" s="3"/>
      <c r="I15" s="3"/>
      <c r="J15" s="4"/>
    </row>
    <row r="16" spans="2:13" x14ac:dyDescent="0.2">
      <c r="B16" s="2"/>
      <c r="C16" s="3"/>
      <c r="D16" s="3"/>
      <c r="E16" s="3"/>
      <c r="F16" s="3"/>
      <c r="G16" s="3"/>
      <c r="H16" s="3"/>
      <c r="I16" s="3"/>
      <c r="J16" s="4"/>
    </row>
    <row r="17" spans="2:10" x14ac:dyDescent="0.2">
      <c r="B17" s="2"/>
      <c r="C17" s="3"/>
      <c r="D17" s="3"/>
      <c r="E17" s="3"/>
      <c r="F17" s="3"/>
      <c r="G17" s="3"/>
      <c r="H17" s="3"/>
      <c r="I17" s="3"/>
      <c r="J17" s="4"/>
    </row>
    <row r="18" spans="2:10" x14ac:dyDescent="0.2">
      <c r="B18" s="2"/>
      <c r="C18" s="3"/>
      <c r="D18" s="3"/>
      <c r="E18" s="3"/>
      <c r="F18" s="3"/>
      <c r="G18" s="3"/>
      <c r="H18" s="3"/>
      <c r="I18" s="3"/>
      <c r="J18" s="4"/>
    </row>
    <row r="19" spans="2:10" x14ac:dyDescent="0.2">
      <c r="B19" s="2"/>
      <c r="C19" s="3"/>
      <c r="D19" s="3"/>
      <c r="E19" s="3"/>
      <c r="F19" s="3"/>
      <c r="G19" s="3"/>
      <c r="H19" s="3"/>
      <c r="I19" s="3"/>
      <c r="J19" s="4"/>
    </row>
    <row r="20" spans="2:10" x14ac:dyDescent="0.2">
      <c r="B20" s="2"/>
      <c r="C20" s="3"/>
      <c r="D20" s="3"/>
      <c r="E20" s="3"/>
      <c r="F20" s="3"/>
      <c r="G20" s="3"/>
      <c r="H20" s="3"/>
      <c r="I20" s="3"/>
      <c r="J20" s="4"/>
    </row>
    <row r="21" spans="2:10" x14ac:dyDescent="0.2">
      <c r="B21" s="2"/>
      <c r="C21" s="3"/>
      <c r="D21" s="3"/>
      <c r="E21" s="3"/>
      <c r="F21" s="3"/>
      <c r="G21" s="3"/>
      <c r="H21" s="3"/>
      <c r="I21" s="3"/>
      <c r="J21" s="4"/>
    </row>
    <row r="22" spans="2:10" x14ac:dyDescent="0.2">
      <c r="B22" s="2"/>
      <c r="C22" s="3"/>
      <c r="D22" s="3"/>
      <c r="E22" s="3"/>
      <c r="F22" s="3"/>
      <c r="G22" s="3"/>
      <c r="H22" s="3"/>
      <c r="I22" s="3"/>
      <c r="J22" s="4"/>
    </row>
    <row r="23" spans="2:10" x14ac:dyDescent="0.2">
      <c r="B23" s="2"/>
      <c r="C23" s="3"/>
      <c r="D23" s="3"/>
      <c r="E23" s="3"/>
      <c r="F23" s="3"/>
      <c r="G23" s="3"/>
      <c r="H23" s="3"/>
      <c r="I23" s="3"/>
      <c r="J23" s="4"/>
    </row>
    <row r="24" spans="2:10" x14ac:dyDescent="0.2">
      <c r="B24" s="2"/>
      <c r="C24" s="3"/>
      <c r="D24" s="3"/>
      <c r="E24" s="3"/>
      <c r="F24" s="3"/>
      <c r="G24" s="3"/>
      <c r="H24" s="3"/>
      <c r="I24" s="3"/>
      <c r="J24" s="4"/>
    </row>
    <row r="25" spans="2:10" x14ac:dyDescent="0.2">
      <c r="B25" s="2"/>
      <c r="C25" s="3"/>
      <c r="D25" s="3"/>
      <c r="E25" s="3"/>
      <c r="F25" s="3"/>
      <c r="G25" s="3"/>
      <c r="H25" s="3"/>
      <c r="I25" s="3"/>
      <c r="J25" s="4"/>
    </row>
    <row r="26" spans="2:10" x14ac:dyDescent="0.2">
      <c r="B26" s="2"/>
      <c r="C26" s="3"/>
      <c r="D26" s="3"/>
      <c r="E26" s="3"/>
      <c r="F26" s="3"/>
      <c r="G26" s="3"/>
      <c r="H26" s="3"/>
      <c r="I26" s="3"/>
      <c r="J26" s="4"/>
    </row>
    <row r="27" spans="2:10" x14ac:dyDescent="0.2">
      <c r="B27" s="2"/>
      <c r="C27" s="3"/>
      <c r="D27" s="3"/>
      <c r="E27" s="3"/>
      <c r="F27" s="3"/>
      <c r="G27" s="3"/>
      <c r="H27" s="3"/>
      <c r="I27" s="3"/>
      <c r="J27" s="4"/>
    </row>
    <row r="28" spans="2:10" x14ac:dyDescent="0.2">
      <c r="B28" s="2"/>
      <c r="C28" s="3"/>
      <c r="D28" s="3"/>
      <c r="E28" s="3"/>
      <c r="F28" s="3"/>
      <c r="G28" s="3"/>
      <c r="H28" s="3"/>
      <c r="I28" s="3"/>
      <c r="J28" s="4"/>
    </row>
    <row r="29" spans="2:10" x14ac:dyDescent="0.2">
      <c r="B29" s="2"/>
      <c r="C29" s="3"/>
      <c r="D29" s="3"/>
      <c r="E29" s="3"/>
      <c r="F29" s="3"/>
      <c r="G29" s="3"/>
      <c r="H29" s="3"/>
      <c r="I29" s="3"/>
      <c r="J29" s="4"/>
    </row>
    <row r="30" spans="2:10" x14ac:dyDescent="0.2">
      <c r="B30" s="2"/>
      <c r="C30" s="3"/>
      <c r="D30" s="3"/>
      <c r="E30" s="3"/>
      <c r="F30" s="3"/>
      <c r="G30" s="3"/>
      <c r="H30" s="3"/>
      <c r="I30" s="3"/>
      <c r="J30" s="4"/>
    </row>
    <row r="31" spans="2:10" x14ac:dyDescent="0.2">
      <c r="B31" s="2"/>
      <c r="C31" s="3"/>
      <c r="D31" s="3"/>
      <c r="E31" s="3"/>
      <c r="F31" s="3"/>
      <c r="G31" s="3"/>
      <c r="H31" s="3"/>
      <c r="I31" s="3"/>
      <c r="J31" s="4"/>
    </row>
    <row r="32" spans="2:10" x14ac:dyDescent="0.2">
      <c r="B32" s="2"/>
      <c r="C32" s="3"/>
      <c r="D32" s="3"/>
      <c r="E32" s="3"/>
      <c r="F32" s="3"/>
      <c r="G32" s="3"/>
      <c r="H32" s="3"/>
      <c r="I32" s="3"/>
      <c r="J32" s="4"/>
    </row>
    <row r="33" spans="2:13" x14ac:dyDescent="0.2">
      <c r="B33" s="2"/>
      <c r="C33" s="3"/>
      <c r="D33" s="3"/>
      <c r="E33" s="3"/>
      <c r="F33" s="3"/>
      <c r="G33" s="3"/>
      <c r="H33" s="3"/>
      <c r="I33" s="3"/>
      <c r="J33" s="4"/>
    </row>
    <row r="34" spans="2:13" x14ac:dyDescent="0.2">
      <c r="B34" s="2"/>
      <c r="C34" s="3"/>
      <c r="D34" s="3"/>
      <c r="E34" s="3"/>
      <c r="F34" s="3"/>
      <c r="G34" s="3"/>
      <c r="H34" s="3"/>
      <c r="I34" s="3"/>
      <c r="J34" s="4"/>
    </row>
    <row r="35" spans="2:13" x14ac:dyDescent="0.2">
      <c r="B35" s="2"/>
      <c r="C35" s="3"/>
      <c r="D35" s="3"/>
      <c r="E35" s="3"/>
      <c r="F35" s="3"/>
      <c r="G35" s="3"/>
      <c r="H35" s="3"/>
      <c r="I35" s="3"/>
      <c r="J35" s="4"/>
    </row>
    <row r="36" spans="2:13" x14ac:dyDescent="0.2">
      <c r="B36" s="2"/>
      <c r="C36" s="3"/>
      <c r="D36" s="3"/>
      <c r="E36" s="3"/>
      <c r="F36" s="3"/>
      <c r="G36" s="3"/>
      <c r="H36" s="3"/>
      <c r="I36" s="3"/>
      <c r="J36" s="4"/>
    </row>
    <row r="37" spans="2:13" x14ac:dyDescent="0.2">
      <c r="B37" s="2"/>
      <c r="C37" s="3"/>
      <c r="D37" s="3"/>
      <c r="E37" s="3"/>
      <c r="F37" s="3"/>
      <c r="G37" s="3"/>
      <c r="H37" s="3"/>
      <c r="I37" s="3"/>
      <c r="J37" s="4"/>
    </row>
    <row r="38" spans="2:13" x14ac:dyDescent="0.2">
      <c r="B38" s="2"/>
      <c r="C38" s="3"/>
      <c r="D38" s="3"/>
      <c r="E38" s="3"/>
      <c r="F38" s="3"/>
      <c r="G38" s="3"/>
      <c r="H38" s="3"/>
      <c r="I38" s="3"/>
      <c r="J38" s="4"/>
    </row>
    <row r="39" spans="2:13" x14ac:dyDescent="0.2">
      <c r="B39" s="2"/>
      <c r="C39" s="3"/>
      <c r="D39" s="3"/>
      <c r="E39" s="3"/>
      <c r="F39" s="3"/>
      <c r="G39" s="3"/>
      <c r="H39" s="3"/>
      <c r="I39" s="3"/>
      <c r="J39" s="4"/>
    </row>
    <row r="40" spans="2:13" x14ac:dyDescent="0.2">
      <c r="B40" s="2"/>
      <c r="C40" s="3"/>
      <c r="D40" s="3"/>
      <c r="E40" s="3"/>
      <c r="F40" s="3"/>
      <c r="G40" s="3"/>
      <c r="H40" s="3"/>
      <c r="I40" s="3"/>
      <c r="J40" s="4"/>
    </row>
    <row r="41" spans="2:13" x14ac:dyDescent="0.2">
      <c r="B41" s="2"/>
      <c r="C41" s="3"/>
      <c r="D41" s="3"/>
      <c r="E41" s="3"/>
      <c r="F41" s="3"/>
      <c r="G41" s="3"/>
      <c r="H41" s="3"/>
      <c r="I41" s="3"/>
      <c r="J41" s="4"/>
    </row>
    <row r="42" spans="2:13" x14ac:dyDescent="0.2">
      <c r="B42" s="2"/>
      <c r="C42" s="3"/>
      <c r="D42" s="3"/>
      <c r="E42" s="3"/>
      <c r="F42" s="3"/>
      <c r="G42" s="3"/>
      <c r="H42" s="3"/>
      <c r="I42" s="3"/>
      <c r="J42" s="4"/>
    </row>
    <row r="43" spans="2:13" x14ac:dyDescent="0.2">
      <c r="B43" s="2"/>
      <c r="C43" s="3"/>
      <c r="D43" s="3"/>
      <c r="E43" s="3"/>
      <c r="F43" s="3"/>
      <c r="G43" s="3"/>
      <c r="H43" s="3"/>
      <c r="I43" s="3"/>
      <c r="J43" s="4"/>
    </row>
    <row r="44" spans="2:13" x14ac:dyDescent="0.2">
      <c r="B44" s="2"/>
      <c r="C44" s="3"/>
      <c r="D44" s="3"/>
      <c r="E44" s="3"/>
      <c r="F44" s="3"/>
      <c r="G44" s="3"/>
      <c r="H44" s="3"/>
      <c r="I44" s="3"/>
      <c r="J44" s="4"/>
    </row>
    <row r="45" spans="2:13" x14ac:dyDescent="0.2">
      <c r="B45" s="2"/>
      <c r="C45" s="3"/>
      <c r="D45" s="3"/>
      <c r="E45" s="3"/>
      <c r="F45" s="3"/>
      <c r="G45" s="3"/>
      <c r="H45" s="3"/>
      <c r="I45" s="3"/>
      <c r="J45" s="4"/>
    </row>
    <row r="46" spans="2:13" x14ac:dyDescent="0.2">
      <c r="B46" s="2"/>
      <c r="C46" s="3"/>
      <c r="D46" s="3"/>
      <c r="E46" s="3"/>
      <c r="F46" s="3"/>
      <c r="G46" s="3"/>
      <c r="H46" s="3"/>
      <c r="I46" s="3"/>
      <c r="J46" s="4"/>
    </row>
    <row r="48" spans="2:13" ht="15" x14ac:dyDescent="0.25">
      <c r="B48" s="157" t="s">
        <v>88</v>
      </c>
      <c r="C48" s="157"/>
      <c r="D48" s="157"/>
      <c r="E48" s="157"/>
      <c r="F48" s="157"/>
      <c r="G48" s="157"/>
      <c r="H48" s="157"/>
      <c r="I48" s="157"/>
      <c r="J48" s="157"/>
      <c r="K48" s="157"/>
      <c r="L48" s="157"/>
      <c r="M48" s="157"/>
    </row>
    <row r="49" spans="2:13" ht="14.25" x14ac:dyDescent="0.2">
      <c r="B49" s="159" t="s">
        <v>80</v>
      </c>
      <c r="C49" s="159"/>
      <c r="D49" s="159"/>
      <c r="E49" s="159"/>
      <c r="F49" s="159"/>
      <c r="G49" s="159"/>
      <c r="H49" s="159"/>
      <c r="I49" s="159"/>
      <c r="J49" s="159"/>
      <c r="K49" s="159"/>
      <c r="L49" s="159"/>
      <c r="M49" s="159"/>
    </row>
  </sheetData>
  <sheetProtection algorithmName="SHA-512" hashValue="U1mzj3NreAPt6OypyTd13RwR4zUDwnIFd+6xlAWOACiu6hexyMiEKTiHiTg2iE7ssU6l4S/u3JolrHlglGoUbA==" saltValue="W1Gr9WBcBvK8fhgHzBz5uQ==" spinCount="100000" sheet="1" objects="1" scenarios="1"/>
  <mergeCells count="4">
    <mergeCell ref="B48:M48"/>
    <mergeCell ref="B2:M2"/>
    <mergeCell ref="B49:M49"/>
    <mergeCell ref="B3:M3"/>
  </mergeCells>
  <phoneticPr fontId="5" type="noConversion"/>
  <hyperlinks>
    <hyperlink ref="B49" r:id="rId1"/>
    <hyperlink ref="B3" r:id="rId2"/>
  </hyperlinks>
  <pageMargins left="0.75" right="0.75" top="1" bottom="1" header="0.5" footer="0.5"/>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1"/>
  <sheetViews>
    <sheetView workbookViewId="0">
      <selection activeCell="Q8" sqref="Q8"/>
    </sheetView>
  </sheetViews>
  <sheetFormatPr defaultColWidth="9.140625" defaultRowHeight="12.75" x14ac:dyDescent="0.2"/>
  <cols>
    <col min="1" max="1" width="6.7109375" style="1" customWidth="1"/>
    <col min="2" max="2" width="11.140625" style="1" customWidth="1"/>
    <col min="3" max="16384" width="9.140625" style="1"/>
  </cols>
  <sheetData>
    <row r="2" spans="2:15" x14ac:dyDescent="0.2">
      <c r="B2" s="45" t="s">
        <v>12</v>
      </c>
      <c r="C2" s="43"/>
      <c r="D2" s="43"/>
      <c r="E2" s="43"/>
      <c r="F2" s="43"/>
      <c r="G2" s="43"/>
      <c r="H2" s="162" t="s">
        <v>86</v>
      </c>
      <c r="I2" s="162"/>
      <c r="J2" s="162"/>
      <c r="K2" s="162"/>
      <c r="L2" s="162"/>
      <c r="M2" s="162"/>
      <c r="N2" s="162"/>
      <c r="O2" s="162"/>
    </row>
    <row r="41" spans="2:15" x14ac:dyDescent="0.2">
      <c r="B41" s="45" t="s">
        <v>13</v>
      </c>
      <c r="C41" s="43"/>
      <c r="D41" s="43"/>
      <c r="E41" s="43"/>
      <c r="F41" s="43"/>
      <c r="G41" s="43"/>
      <c r="H41" s="43"/>
      <c r="I41" s="163" t="s">
        <v>86</v>
      </c>
      <c r="J41" s="164"/>
      <c r="K41" s="164"/>
      <c r="L41" s="164"/>
      <c r="M41" s="164"/>
      <c r="N41" s="164"/>
      <c r="O41" s="164"/>
    </row>
  </sheetData>
  <sheetProtection algorithmName="SHA-512" hashValue="UemuZe5lSWc9qpASuFhcCtta0zcepL4oSsmPEHvROx/I+rSTjy70HfEK22ywaB3SQqYZwjeZK1pk79JY5Jgl9w==" saltValue="mmUu4vKT2UaR4DoBvttTCg==" spinCount="100000" sheet="1" objects="1" scenarios="1"/>
  <mergeCells count="2">
    <mergeCell ref="H2:O2"/>
    <mergeCell ref="I41:O41"/>
  </mergeCells>
  <phoneticPr fontId="5" type="noConversion"/>
  <hyperlinks>
    <hyperlink ref="I41" r:id="rId1"/>
    <hyperlink ref="H2" r:id="rId2"/>
  </hyperlinks>
  <pageMargins left="0.75" right="0.75" top="1" bottom="1" header="0.5" footer="0.5"/>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Comparison</vt:lpstr>
      <vt:lpstr>Futures-options</vt:lpstr>
      <vt:lpstr>LRP</vt:lpstr>
      <vt:lpstr>Introduction!Print_Area</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Feeder Cattle Risk Management Tool</dc:title>
  <dc:creator>Kevin Dhuyvetter</dc:creator>
  <dc:description>password int&amp;off</dc:description>
  <cp:lastModifiedBy>GTonsor</cp:lastModifiedBy>
  <cp:lastPrinted>2020-02-18T22:01:26Z</cp:lastPrinted>
  <dcterms:created xsi:type="dcterms:W3CDTF">2007-06-11T19:03:56Z</dcterms:created>
  <dcterms:modified xsi:type="dcterms:W3CDTF">2020-07-06T16:51:02Z</dcterms:modified>
</cp:coreProperties>
</file>