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T:\TEMP FOLDER\________EXTENSION________\"/>
    </mc:Choice>
  </mc:AlternateContent>
  <workbookProtection workbookAlgorithmName="SHA-512" workbookHashValue="65WDrxj0hkS6skkAxUB/3AKX66nuTDH5a4xVVYoDp+n1lDeYIDmfFWQ7U7mwdkJ+jZH+ymu/Ykide5xQpwTSKw==" workbookSaltValue="re03CvdhjD6qCEw/my5sDA==" workbookSpinCount="100000" lockStructure="1"/>
  <bookViews>
    <workbookView xWindow="0" yWindow="0" windowWidth="28800" windowHeight="12330"/>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62913"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<sst xmlns="http://schemas.openxmlformats.org/spreadsheetml/2006/main" count="125" uniqueCount="93">
  <si>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</si>
  <si>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</si>
  <si>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</si>
  <si>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</si>
  <si>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</si>
  <si>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</si>
  <si>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</si>
  <si>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</si>
  <si>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</si>
  <si>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</si>
  <si>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</si>
  <si>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</si>
  <si>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</si>
  <si>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</si>
  <si>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</si>
  <si>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</si>
  <si>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</si>
  <si>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</si>
  <si>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</si>
  <si>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</si>
  <si>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</si>
  <si>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</si>
  <si>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</si>
  <si>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</si>
  <si>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</si>
  <si>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</si>
  <si>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</si>
  <si>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</si>
  <si>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</si>
  <si>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</si>
  <si>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</si>
  <si>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</si>
  <si>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</si>
  <si>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</si>
  <si>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</si>
  <si>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</si>
  <si>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</si>
  <si>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</si>
  <si>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</si>
  <si>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</si>
  <si>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</si>
  <si>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</si>
  <si>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</si>
  <si>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</si>
  <si>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</si>
  <si>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</si>
  <si>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</si>
  <si>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</si>
  <si>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</si>
  <si>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</si>
  <si>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</si>
  <si>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</si>
  <si>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</si>
  <si>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</si>
  <si>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</si>
  <si>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</si>
  <si>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</si>
  <si>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</si>
  <si>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</si>
  <si>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</si>
  <si>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</si>
  <si>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</si>
  <si>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</si>
  <si>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</si>
  <si>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</si>
  <si>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</si>
  <si>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</si>
  <si>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</si>
  <si>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</si>
  <si>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</si>
  <si>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</si>
  <si>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</si>
  <si>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</si>
  <si>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</si>
  <si>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</si>
  <si>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</si>
  <si>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</si>
  <si>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</si>
  <si>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</si>
  <si>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</si>
  <si>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http://www.cmegroup.com/trading/agricultural/livestock/feeder-cattle_quotes_globex_options.html</t>
  </si>
  <si>
    <t>http://www.beefbasis.com/</t>
  </si>
  <si>
    <t>http://www.agmanager.info/livestock/marketing/graphs/</t>
  </si>
  <si>
    <t>http://www.cmegroup.com/trading/agricultural/livestock/feeder-cattle.html</t>
  </si>
  <si>
    <r>
      <t xml:space="preserve">Be sure to </t>
    </r>
    <r>
      <rPr>
        <b/>
        <sz val="10"/>
        <rFont val="Arial"/>
        <family val="2"/>
      </rPr>
      <t xml:space="preserve">"Enable Content" </t>
    </r>
    <r>
      <rPr>
        <sz val="10"/>
        <rFont val="Arial"/>
        <family val="2"/>
      </rPr>
      <t xml:space="preserve">and </t>
    </r>
    <r>
      <rPr>
        <b/>
        <sz val="10"/>
        <rFont val="Arial"/>
        <family val="2"/>
      </rPr>
      <t>"Enable Macros"</t>
    </r>
    <r>
      <rPr>
        <sz val="10"/>
        <rFont val="Arial"/>
        <family val="2"/>
      </rPr>
      <t xml:space="preserve"> for the spreadsheet to function correctly.</t>
    </r>
  </si>
  <si>
    <t xml:space="preserve">In the Comparison sheet all blue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blue number) have a red diamond in the upper right hand corner of the cell.  By moving your mouse cursor over this diamond, a brief description of the input will be displayed on the screen.  </t>
  </si>
  <si>
    <t>https://public.rma.usda.gov/livestockreports/main.aspx</t>
  </si>
  <si>
    <t>Example screen from CME website showing prices for 7/3/2019 for feeder cattle futures contracts</t>
  </si>
  <si>
    <t>Example screen from CME website showing option premiums for 7/3/2019 for OCT 2019 feeder cattle contract</t>
  </si>
  <si>
    <t>Copyright 2020 AgManager.info, K-State Department of Agricultural Economics</t>
  </si>
  <si>
    <t>Version- 4.28.2020</t>
  </si>
  <si>
    <t xml:space="preserve">https://public.rma.usda.gov/livestockreports/main.aspx </t>
  </si>
  <si>
    <t>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</si>
</sst>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49"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1"/>
      <name val="Arial"/>
      <family val="2"/>
    </font>
    <font>
      <u/>
      <sz val="11"/>
      <color indexed="12"/>
      <name val="Arial"/>
      <family val="2"/>
    </font>
    <font>
      <u/>
      <sz val="12"/>
      <color indexed="12"/>
      <name val="Arial"/>
      <family val="2"/>
    </font>
    <font>
      <sz val="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sz val="11"/>
      <name val="Arial"/>
      <family val="2"/>
    </font>
    <font>
      <u/>
      <sz val="10"/>
      <color indexed="12"/>
      <name val="Arial"/>
      <family val="2"/>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s>
  <borders count="1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cellStyleXfs>
  <cellXfs count="165">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23" fillId="0" borderId="0" xfId="3" applyFont="1" applyProtection="1"/>
    <xf numFmtId="0" fontId="24" fillId="6" borderId="2" xfId="3" applyFont="1" applyFill="1" applyBorder="1" applyProtection="1"/>
    <xf numFmtId="0" fontId="24" fillId="6" borderId="3" xfId="3" applyFont="1" applyFill="1" applyBorder="1" applyProtection="1"/>
    <xf numFmtId="0" fontId="24" fillId="6" borderId="4" xfId="3" applyFont="1" applyFill="1" applyBorder="1" applyProtection="1"/>
    <xf numFmtId="0" fontId="25" fillId="6" borderId="5" xfId="3" applyFont="1" applyFill="1" applyBorder="1" applyAlignment="1" applyProtection="1"/>
    <xf numFmtId="0" fontId="26" fillId="6" borderId="0" xfId="3" applyFont="1" applyFill="1" applyAlignment="1" applyProtection="1"/>
    <xf numFmtId="0" fontId="27" fillId="6" borderId="0" xfId="3" applyFont="1" applyFill="1" applyBorder="1" applyProtection="1"/>
    <xf numFmtId="0" fontId="24" fillId="6" borderId="0" xfId="3" applyFont="1" applyFill="1" applyBorder="1" applyProtection="1"/>
    <xf numFmtId="0" fontId="24" fillId="6" borderId="6" xfId="3" applyFont="1" applyFill="1" applyBorder="1" applyProtection="1"/>
    <xf numFmtId="0" fontId="27" fillId="6" borderId="5" xfId="3" applyFont="1" applyFill="1" applyBorder="1" applyProtection="1"/>
    <xf numFmtId="0" fontId="28" fillId="6" borderId="0" xfId="3" applyFont="1" applyFill="1" applyBorder="1" applyAlignment="1" applyProtection="1">
      <alignment horizontal="left"/>
    </xf>
    <xf numFmtId="0" fontId="29" fillId="6" borderId="0" xfId="3" applyFont="1" applyFill="1" applyAlignment="1" applyProtection="1">
      <alignment horizontal="left"/>
    </xf>
    <xf numFmtId="0" fontId="30" fillId="6" borderId="0" xfId="3" applyFont="1" applyFill="1" applyAlignment="1" applyProtection="1"/>
    <xf numFmtId="0" fontId="24" fillId="6" borderId="5" xfId="3" applyFont="1" applyFill="1" applyBorder="1" applyAlignment="1" applyProtection="1">
      <alignment horizontal="center"/>
    </xf>
    <xf numFmtId="0" fontId="34" fillId="6" borderId="0" xfId="3" applyFont="1" applyFill="1" applyAlignment="1" applyProtection="1">
      <alignment wrapText="1"/>
    </xf>
    <xf numFmtId="0" fontId="35" fillId="6" borderId="0" xfId="3" applyFont="1" applyFill="1" applyBorder="1" applyProtection="1"/>
    <xf numFmtId="0" fontId="36" fillId="6" borderId="6" xfId="3" applyFont="1" applyFill="1" applyBorder="1" applyProtection="1"/>
    <xf numFmtId="0" fontId="24" fillId="6" borderId="9" xfId="3" applyFont="1" applyFill="1" applyBorder="1" applyProtection="1"/>
    <xf numFmtId="0" fontId="24" fillId="6" borderId="1" xfId="3" applyFont="1" applyFill="1" applyBorder="1" applyProtection="1"/>
    <xf numFmtId="0" fontId="35" fillId="6" borderId="1" xfId="3" applyFont="1" applyFill="1" applyBorder="1" applyProtection="1"/>
    <xf numFmtId="0" fontId="37" fillId="6" borderId="7" xfId="3" applyFont="1" applyFill="1" applyBorder="1" applyAlignment="1" applyProtection="1">
      <alignment horizontal="right"/>
    </xf>
    <xf numFmtId="0" fontId="39" fillId="0" borderId="0" xfId="3" applyFont="1" applyProtection="1"/>
    <xf numFmtId="0" fontId="39" fillId="0" borderId="0" xfId="3" applyFont="1" applyFill="1" applyBorder="1" applyProtection="1"/>
    <xf numFmtId="0" fontId="40" fillId="0" borderId="0" xfId="3" applyFont="1" applyAlignment="1" applyProtection="1"/>
    <xf numFmtId="0" fontId="41" fillId="0" borderId="0" xfId="3" applyFont="1" applyAlignment="1" applyProtection="1"/>
    <xf numFmtId="0" fontId="41" fillId="0" borderId="0" xfId="3" applyFont="1" applyProtection="1"/>
    <xf numFmtId="0" fontId="42" fillId="0" borderId="0" xfId="3" applyFont="1" applyProtection="1"/>
    <xf numFmtId="0" fontId="42" fillId="0" borderId="0" xfId="3" applyFont="1" applyFill="1" applyProtection="1"/>
    <xf numFmtId="0" fontId="41" fillId="0" borderId="0" xfId="3" applyFont="1" applyFill="1" applyProtection="1"/>
    <xf numFmtId="0" fontId="41" fillId="0" borderId="0" xfId="3" applyFont="1" applyAlignment="1" applyProtection="1">
      <alignment wrapText="1"/>
    </xf>
    <xf numFmtId="0" fontId="40" fillId="0" borderId="0" xfId="3" applyFont="1" applyProtection="1"/>
    <xf numFmtId="0" fontId="43" fillId="0" borderId="0" xfId="3" applyFont="1" applyProtection="1"/>
    <xf numFmtId="0" fontId="41" fillId="0" borderId="0" xfId="3" applyFont="1" applyAlignment="1" applyProtection="1">
      <alignment horizontal="center"/>
    </xf>
    <xf numFmtId="0" fontId="46" fillId="0" borderId="0" xfId="3" applyFont="1" applyProtection="1"/>
    <xf numFmtId="0" fontId="41" fillId="0" borderId="0" xfId="5" applyFont="1" applyFill="1" applyAlignment="1" applyProtection="1"/>
    <xf numFmtId="0" fontId="41" fillId="0" borderId="0" xfId="3" applyFont="1" applyFill="1" applyAlignment="1" applyProtection="1"/>
    <xf numFmtId="0" fontId="48" fillId="0" borderId="0" xfId="5" applyFont="1" applyAlignment="1" applyProtection="1"/>
    <xf numFmtId="0" fontId="48" fillId="0" borderId="0" xfId="4" applyFont="1" applyAlignment="1" applyProtection="1"/>
    <xf numFmtId="0" fontId="41" fillId="0" borderId="0" xfId="3" applyFont="1" applyAlignment="1" applyProtection="1"/>
    <xf numFmtId="0" fontId="48" fillId="0" borderId="0" xfId="5" applyFont="1" applyAlignment="1" applyProtection="1"/>
    <xf numFmtId="0" fontId="41" fillId="0" borderId="0" xfId="3" applyFont="1" applyAlignment="1" applyProtection="1">
      <alignment horizontal="left" wrapText="1"/>
    </xf>
    <xf numFmtId="0" fontId="42" fillId="0" borderId="0" xfId="3" applyFont="1" applyAlignment="1" applyProtection="1">
      <alignment horizontal="left" wrapText="1"/>
    </xf>
    <xf numFmtId="0" fontId="40" fillId="0" borderId="0" xfId="3" applyFont="1" applyAlignment="1" applyProtection="1"/>
    <xf numFmtId="0" fontId="41" fillId="0" borderId="0" xfId="3" applyFont="1" applyAlignment="1" applyProtection="1">
      <alignment horizontal="left" vertical="center" wrapText="1"/>
    </xf>
    <xf numFmtId="0" fontId="42" fillId="0" borderId="0" xfId="3" applyFont="1" applyAlignment="1" applyProtection="1">
      <alignment horizontal="left" vertical="center" wrapText="1"/>
    </xf>
    <xf numFmtId="0" fontId="44" fillId="2" borderId="0" xfId="4" applyFont="1" applyFill="1" applyAlignment="1" applyProtection="1">
      <alignment horizontal="center"/>
    </xf>
    <xf numFmtId="0" fontId="45" fillId="0" borderId="0" xfId="3" applyFont="1" applyAlignment="1">
      <alignment horizontal="center"/>
    </xf>
    <xf numFmtId="0" fontId="47" fillId="0" borderId="0" xfId="5" applyFont="1" applyAlignment="1" applyProtection="1"/>
    <xf numFmtId="0" fontId="27" fillId="6" borderId="5" xfId="3" applyFont="1" applyFill="1" applyBorder="1" applyAlignment="1" applyProtection="1">
      <alignment horizontal="left" wrapText="1"/>
    </xf>
    <xf numFmtId="0" fontId="31" fillId="6" borderId="0" xfId="3" applyFont="1" applyFill="1" applyAlignment="1" applyProtection="1">
      <alignment wrapText="1"/>
    </xf>
    <xf numFmtId="0" fontId="31" fillId="6" borderId="5" xfId="3" applyFont="1" applyFill="1" applyBorder="1" applyAlignment="1" applyProtection="1">
      <alignment wrapText="1"/>
    </xf>
    <xf numFmtId="0" fontId="32" fillId="0" borderId="0" xfId="3" applyFont="1" applyAlignment="1" applyProtection="1">
      <alignment wrapText="1"/>
    </xf>
    <xf numFmtId="0" fontId="33" fillId="0" borderId="0" xfId="3" applyFont="1" applyAlignment="1" applyProtection="1">
      <alignment wrapText="1"/>
    </xf>
    <xf numFmtId="0" fontId="37" fillId="6" borderId="1" xfId="3" applyFont="1" applyFill="1" applyBorder="1" applyAlignment="1" applyProtection="1">
      <alignment horizontal="right"/>
    </xf>
    <xf numFmtId="0" fontId="34" fillId="6" borderId="1" xfId="3" applyFont="1" applyFill="1" applyBorder="1" applyAlignment="1" applyProtection="1">
      <alignment horizontal="right"/>
    </xf>
    <xf numFmtId="14" fontId="37" fillId="6" borderId="1" xfId="3" applyNumberFormat="1" applyFont="1" applyFill="1" applyBorder="1" applyAlignment="1" applyProtection="1">
      <alignment horizontal="left"/>
    </xf>
    <xf numFmtId="0" fontId="34" fillId="6" borderId="1" xfId="3" applyFont="1" applyFill="1" applyBorder="1" applyAlignment="1" applyProtection="1">
      <alignment horizontal="left"/>
    </xf>
    <xf numFmtId="0" fontId="38" fillId="0" borderId="0" xfId="3" applyFont="1" applyProtection="1"/>
    <xf numFmtId="0" fontId="41" fillId="0" borderId="0" xfId="3" applyFont="1" applyAlignment="1" applyProtection="1">
      <alignment horizontal="left" vertical="top" wrapText="1"/>
    </xf>
    <xf numFmtId="0" fontId="2" fillId="2" borderId="0" xfId="0" applyFont="1" applyFill="1" applyAlignment="1"/>
    <xf numFmtId="0" fontId="2" fillId="2" borderId="0" xfId="0" applyFont="1" applyFill="1" applyAlignment="1">
      <alignment horizontal="center"/>
    </xf>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0" fillId="5" borderId="0" xfId="0" applyFont="1" applyFill="1" applyAlignment="1">
      <alignment horizontal="center"/>
    </xf>
    <xf numFmtId="0" fontId="8" fillId="5" borderId="0" xfId="0" applyFont="1" applyFill="1" applyAlignment="1">
      <alignment horizontal="center"/>
    </xf>
    <xf numFmtId="0" fontId="21" fillId="5" borderId="0" xfId="1" applyFont="1" applyFill="1" applyAlignment="1" applyProtection="1">
      <alignment horizontal="center"/>
    </xf>
    <xf numFmtId="0" fontId="22" fillId="5" borderId="0" xfId="1" applyFont="1" applyFill="1" applyBorder="1" applyAlignment="1" applyProtection="1">
      <alignment horizontal="center"/>
    </xf>
    <xf numFmtId="0" fontId="8" fillId="5" borderId="0" xfId="0" applyFont="1" applyFill="1" applyBorder="1" applyAlignment="1">
      <alignment horizontal="center"/>
    </xf>
    <xf numFmtId="0" fontId="4" fillId="5" borderId="0" xfId="1" applyFill="1" applyAlignment="1" applyProtection="1">
      <alignment horizontal="right"/>
    </xf>
    <xf numFmtId="0" fontId="4" fillId="5" borderId="0" xfId="1" applyFill="1" applyBorder="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120</c:v>
                </c:pt>
                <c:pt idx="1">
                  <c:v>125</c:v>
                </c:pt>
                <c:pt idx="2">
                  <c:v>130</c:v>
                </c:pt>
                <c:pt idx="3">
                  <c:v>135</c:v>
                </c:pt>
                <c:pt idx="4">
                  <c:v>140</c:v>
                </c:pt>
                <c:pt idx="5">
                  <c:v>145</c:v>
                </c:pt>
                <c:pt idx="6">
                  <c:v>150</c:v>
                </c:pt>
                <c:pt idx="7">
                  <c:v>155</c:v>
                </c:pt>
                <c:pt idx="8">
                  <c:v>160</c:v>
                </c:pt>
              </c:numCache>
            </c:numRef>
          </c:cat>
          <c:val>
            <c:numRef>
              <c:f>Comparison!$K$12:$K$20</c:f>
              <c:numCache>
                <c:formatCode>"$"#,##0.00</c:formatCode>
                <c:ptCount val="9"/>
                <c:pt idx="0">
                  <c:v>134.56</c:v>
                </c:pt>
                <c:pt idx="1">
                  <c:v>139.56</c:v>
                </c:pt>
                <c:pt idx="2">
                  <c:v>144.56</c:v>
                </c:pt>
                <c:pt idx="3">
                  <c:v>149.56</c:v>
                </c:pt>
                <c:pt idx="4">
                  <c:v>154.56</c:v>
                </c:pt>
                <c:pt idx="5">
                  <c:v>159.56</c:v>
                </c:pt>
                <c:pt idx="6">
                  <c:v>164.56</c:v>
                </c:pt>
                <c:pt idx="7">
                  <c:v>169.56</c:v>
                </c:pt>
                <c:pt idx="8">
                  <c:v>174.56</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155.98424242424244</c:v>
                </c:pt>
                <c:pt idx="1">
                  <c:v>150.88323232323231</c:v>
                </c:pt>
                <c:pt idx="2">
                  <c:v>145.7822222222222</c:v>
                </c:pt>
                <c:pt idx="3">
                  <c:v>140.68121212121213</c:v>
                </c:pt>
                <c:pt idx="4">
                  <c:v>135.58020202020202</c:v>
                </c:pt>
                <c:pt idx="5">
                  <c:v>130.47919191919192</c:v>
                </c:pt>
                <c:pt idx="6">
                  <c:v>125.37818181818182</c:v>
                </c:pt>
                <c:pt idx="7">
                  <c:v>120.27717171717171</c:v>
                </c:pt>
                <c:pt idx="8">
                  <c:v>115.17616161616162</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($139)</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131.00100000000003</c:v>
                </c:pt>
                <c:pt idx="1">
                  <c:v>130.501</c:v>
                </c:pt>
                <c:pt idx="2">
                  <c:v>134.411</c:v>
                </c:pt>
                <c:pt idx="3">
                  <c:v>139.41099999999997</c:v>
                </c:pt>
                <c:pt idx="4">
                  <c:v>144.41099999999997</c:v>
                </c:pt>
                <c:pt idx="5">
                  <c:v>149.411</c:v>
                </c:pt>
                <c:pt idx="6">
                  <c:v>154.411</c:v>
                </c:pt>
                <c:pt idx="7">
                  <c:v>159.411</c:v>
                </c:pt>
                <c:pt idx="8">
                  <c:v>164.41099999999997</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($126)</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130.68121212121216</c:v>
                </c:pt>
                <c:pt idx="1">
                  <c:v>125.58020202020201</c:v>
                </c:pt>
                <c:pt idx="2">
                  <c:v>128.6812121212121</c:v>
                </c:pt>
                <c:pt idx="3">
                  <c:v>133.6812121212121</c:v>
                </c:pt>
                <c:pt idx="4">
                  <c:v>138.68121212121213</c:v>
                </c:pt>
                <c:pt idx="5">
                  <c:v>143.68121212121216</c:v>
                </c:pt>
                <c:pt idx="6">
                  <c:v>148.68121212121213</c:v>
                </c:pt>
                <c:pt idx="7">
                  <c:v>153.6812121212121</c:v>
                </c:pt>
                <c:pt idx="8">
                  <c:v>158.6812121212121</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($140)</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144.65090909090912</c:v>
                </c:pt>
                <c:pt idx="1">
                  <c:v>139.54989898989899</c:v>
                </c:pt>
                <c:pt idx="2">
                  <c:v>134.44888888888889</c:v>
                </c:pt>
                <c:pt idx="3">
                  <c:v>129.34787878787878</c:v>
                </c:pt>
                <c:pt idx="4">
                  <c:v>124.24686868686867</c:v>
                </c:pt>
                <c:pt idx="5">
                  <c:v>129.12565656565658</c:v>
                </c:pt>
                <c:pt idx="6">
                  <c:v>134.12565656565656</c:v>
                </c:pt>
                <c:pt idx="7">
                  <c:v>139.12565656565656</c:v>
                </c:pt>
                <c:pt idx="8">
                  <c:v>144.12565656565656</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($136/$138)</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154.1458585858586</c:v>
                </c:pt>
                <c:pt idx="1">
                  <c:v>149.04484848484847</c:v>
                </c:pt>
                <c:pt idx="2">
                  <c:v>143.94383838383837</c:v>
                </c:pt>
                <c:pt idx="3">
                  <c:v>138.84282828282829</c:v>
                </c:pt>
                <c:pt idx="4">
                  <c:v>137.7822222222222</c:v>
                </c:pt>
                <c:pt idx="5">
                  <c:v>132.68121212121216</c:v>
                </c:pt>
                <c:pt idx="6">
                  <c:v>127.58020202020202</c:v>
                </c:pt>
                <c:pt idx="7">
                  <c:v>122.47919191919192</c:v>
                </c:pt>
                <c:pt idx="8">
                  <c:v>117.3781818181818</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180"/>
          <c:min val="10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a:extLst>
            <a:ext uri="{FF2B5EF4-FFF2-40B4-BE49-F238E27FC236}">
              <a16:creationId xmlns:a16="http://schemas.microsoft.com/office/drawing/2014/main" id="{00000000-0008-0000-0100-00009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657225</xdr:colOff>
      <xdr:row>45</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723900"/>
          <a:ext cx="749617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12</xdr:col>
      <xdr:colOff>581025</xdr:colOff>
      <xdr:row>98</xdr:row>
      <xdr:rowOff>82494</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220075"/>
          <a:ext cx="7419975" cy="78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161924</xdr:rowOff>
    </xdr:from>
    <xdr:to>
      <xdr:col>12</xdr:col>
      <xdr:colOff>619125</xdr:colOff>
      <xdr:row>145</xdr:row>
      <xdr:rowOff>103590</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6154399"/>
          <a:ext cx="7458075" cy="7552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561975</xdr:colOff>
      <xdr:row>39</xdr:row>
      <xdr:rowOff>155267</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23850"/>
          <a:ext cx="6791325" cy="614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20</xdr:col>
      <xdr:colOff>581025</xdr:colOff>
      <xdr:row>50</xdr:row>
      <xdr:rowOff>123825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6638925"/>
          <a:ext cx="122967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20</xdr:col>
      <xdr:colOff>238125</xdr:colOff>
      <xdr:row>84</xdr:row>
      <xdr:rowOff>95250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8582025"/>
          <a:ext cx="11953875"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20</xdr:col>
      <xdr:colOff>314325</xdr:colOff>
      <xdr:row>106</xdr:row>
      <xdr:rowOff>76200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925550"/>
          <a:ext cx="1203007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beefbasis.com/" TargetMode="External"/><Relationship Id="rId7" Type="http://schemas.openxmlformats.org/officeDocument/2006/relationships/vmlDrawing" Target="../drawings/vmlDrawing1.vml"/><Relationship Id="rId2" Type="http://schemas.openxmlformats.org/officeDocument/2006/relationships/hyperlink" Target="http://www.agmanager.info/livestock/marketing/graphs/" TargetMode="External"/><Relationship Id="rId1" Type="http://schemas.openxmlformats.org/officeDocument/2006/relationships/hyperlink" Target="http://www.cmegroup.com/trading/agricultural/livestock/feeder-cattle_quotes_globex_options.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public.rma.usda.gov/livestockreports/main.aspx"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ublic.rma.usda.gov/livestockreports/main.aspx" TargetMode="External"/><Relationship Id="rId1" Type="http://schemas.openxmlformats.org/officeDocument/2006/relationships/hyperlink" Target="https://public.rma.usda.gov/livestockreports/main.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6"/>
  <sheetViews>
    <sheetView showGridLines="0" tabSelected="1" zoomScale="92" zoomScaleNormal="100" workbookViewId="0">
      <selection activeCell="A29" sqref="A29"/>
    </sheetView>
  </sheetViews>
  <sheetFormatPr defaultRowHeight="12.75" x14ac:dyDescent="0.2"/>
  <cols>
    <col min="1" max="1" width="3.5703125" style="89" customWidth="1"/>
    <col min="2" max="4" width="9.140625" style="89"/>
    <col min="5" max="5" width="9" style="89" customWidth="1"/>
    <col min="6" max="11" width="9.140625" style="89"/>
    <col min="12" max="12" width="23.28515625" style="89" customWidth="1"/>
    <col min="13" max="13" width="3.7109375" style="89" customWidth="1"/>
    <col min="14" max="16384" width="9.140625" style="89"/>
  </cols>
  <sheetData>
    <row r="1" spans="2:24" ht="10.5" customHeight="1" thickBot="1" x14ac:dyDescent="0.25"/>
    <row r="2" spans="2:24" ht="7.5" customHeight="1" x14ac:dyDescent="0.25">
      <c r="B2" s="90"/>
      <c r="C2" s="91"/>
      <c r="D2" s="91"/>
      <c r="E2" s="91"/>
      <c r="F2" s="91"/>
      <c r="G2" s="91"/>
      <c r="H2" s="91"/>
      <c r="I2" s="91"/>
      <c r="J2" s="91"/>
      <c r="K2" s="91"/>
      <c r="L2" s="92"/>
    </row>
    <row r="3" spans="2:24" ht="26.25" x14ac:dyDescent="0.4">
      <c r="B3" s="93" t="s">
        <v>68</v>
      </c>
      <c r="C3" s="94"/>
      <c r="D3" s="94"/>
      <c r="E3" s="94"/>
      <c r="F3" s="94"/>
      <c r="G3" s="94"/>
      <c r="H3" s="95"/>
      <c r="I3" s="95"/>
      <c r="J3" s="96"/>
      <c r="K3" s="96"/>
      <c r="L3" s="97"/>
    </row>
    <row r="4" spans="2:24" ht="18" customHeight="1" x14ac:dyDescent="0.3">
      <c r="B4" s="98"/>
      <c r="C4" s="99"/>
      <c r="D4" s="100"/>
      <c r="E4" s="100"/>
      <c r="F4" s="101"/>
      <c r="G4" s="101"/>
      <c r="H4" s="95"/>
      <c r="I4" s="95"/>
      <c r="J4" s="96"/>
      <c r="K4" s="96"/>
      <c r="L4" s="97"/>
    </row>
    <row r="5" spans="2:24" ht="15.75" customHeight="1" x14ac:dyDescent="0.25">
      <c r="B5" s="137" t="s">
        <v>69</v>
      </c>
      <c r="C5" s="138"/>
      <c r="D5" s="138"/>
      <c r="E5" s="138"/>
      <c r="F5" s="138"/>
      <c r="G5" s="138"/>
      <c r="H5" s="138"/>
      <c r="I5" s="138"/>
      <c r="J5" s="96"/>
      <c r="K5" s="96"/>
      <c r="L5" s="97"/>
      <c r="N5" s="140"/>
      <c r="O5" s="141"/>
      <c r="P5" s="141"/>
      <c r="Q5" s="141"/>
      <c r="R5" s="141"/>
      <c r="S5" s="141"/>
      <c r="T5" s="141"/>
      <c r="U5" s="141"/>
      <c r="V5" s="141"/>
      <c r="W5" s="141"/>
      <c r="X5" s="141"/>
    </row>
    <row r="6" spans="2:24" ht="15.75" x14ac:dyDescent="0.25">
      <c r="B6" s="139"/>
      <c r="C6" s="138"/>
      <c r="D6" s="138"/>
      <c r="E6" s="138"/>
      <c r="F6" s="138"/>
      <c r="G6" s="138"/>
      <c r="H6" s="138"/>
      <c r="I6" s="138"/>
      <c r="J6" s="96"/>
      <c r="K6" s="96"/>
      <c r="L6" s="97"/>
      <c r="N6" s="141"/>
      <c r="O6" s="141"/>
      <c r="P6" s="141"/>
      <c r="Q6" s="141"/>
      <c r="R6" s="141"/>
      <c r="S6" s="141"/>
      <c r="T6" s="141"/>
      <c r="U6" s="141"/>
      <c r="V6" s="141"/>
      <c r="W6" s="141"/>
      <c r="X6" s="141"/>
    </row>
    <row r="7" spans="2:24" ht="5.25" customHeight="1" x14ac:dyDescent="0.25">
      <c r="B7" s="102"/>
      <c r="C7" s="103"/>
      <c r="D7" s="103"/>
      <c r="E7" s="103"/>
      <c r="F7" s="103"/>
      <c r="G7" s="103"/>
      <c r="H7" s="103"/>
      <c r="I7" s="96"/>
      <c r="J7" s="96"/>
      <c r="K7" s="104"/>
      <c r="L7" s="105"/>
    </row>
    <row r="8" spans="2:24" ht="13.5" customHeight="1" thickBot="1" x14ac:dyDescent="0.3">
      <c r="B8" s="106"/>
      <c r="C8" s="142"/>
      <c r="D8" s="143"/>
      <c r="E8" s="144"/>
      <c r="F8" s="145"/>
      <c r="G8" s="107"/>
      <c r="H8" s="107"/>
      <c r="I8" s="107"/>
      <c r="J8" s="107"/>
      <c r="K8" s="108"/>
      <c r="L8" s="109" t="s">
        <v>90</v>
      </c>
      <c r="N8" s="146"/>
    </row>
    <row r="9" spans="2:24" ht="9.75" customHeight="1" x14ac:dyDescent="0.25">
      <c r="B9" s="110"/>
      <c r="C9" s="110"/>
      <c r="D9" s="110"/>
      <c r="E9" s="110"/>
      <c r="F9" s="110"/>
      <c r="G9" s="111"/>
      <c r="H9" s="110"/>
      <c r="I9" s="110"/>
      <c r="J9" s="110"/>
      <c r="K9" s="110"/>
      <c r="L9" s="110"/>
      <c r="N9" s="146"/>
    </row>
    <row r="28" spans="2:12" ht="15.75" x14ac:dyDescent="0.25">
      <c r="B28" s="112" t="s">
        <v>70</v>
      </c>
      <c r="C28" s="113"/>
      <c r="D28" s="113"/>
      <c r="E28" s="113"/>
      <c r="F28" s="114"/>
      <c r="G28" s="114"/>
      <c r="H28" s="114"/>
      <c r="I28" s="114"/>
      <c r="J28" s="114"/>
      <c r="K28" s="114"/>
      <c r="L28" s="114"/>
    </row>
    <row r="29" spans="2:12" x14ac:dyDescent="0.2">
      <c r="B29" s="147" t="s">
        <v>71</v>
      </c>
      <c r="C29" s="147"/>
      <c r="D29" s="147"/>
      <c r="E29" s="147"/>
      <c r="F29" s="147"/>
      <c r="G29" s="147"/>
      <c r="H29" s="147"/>
      <c r="I29" s="147"/>
      <c r="J29" s="147"/>
      <c r="K29" s="147"/>
      <c r="L29" s="147"/>
    </row>
    <row r="30" spans="2:12" ht="35.25" customHeight="1" x14ac:dyDescent="0.2">
      <c r="B30" s="147"/>
      <c r="C30" s="147"/>
      <c r="D30" s="147"/>
      <c r="E30" s="147"/>
      <c r="F30" s="147"/>
      <c r="G30" s="147"/>
      <c r="H30" s="147"/>
      <c r="I30" s="147"/>
      <c r="J30" s="147"/>
      <c r="K30" s="147"/>
      <c r="L30" s="147"/>
    </row>
    <row r="31" spans="2:12" ht="19.5" customHeight="1" x14ac:dyDescent="0.25">
      <c r="B31" s="131" t="s">
        <v>72</v>
      </c>
      <c r="C31" s="127"/>
      <c r="D31" s="127"/>
      <c r="E31" s="127"/>
      <c r="F31" s="115"/>
      <c r="G31" s="116"/>
      <c r="H31" s="115"/>
      <c r="I31" s="115"/>
      <c r="J31" s="115"/>
      <c r="K31" s="115"/>
      <c r="L31" s="115"/>
    </row>
    <row r="32" spans="2:12" ht="20.25" customHeight="1" x14ac:dyDescent="0.25">
      <c r="B32" s="113" t="s">
        <v>84</v>
      </c>
      <c r="C32" s="113"/>
      <c r="D32" s="113"/>
      <c r="E32" s="113"/>
      <c r="F32" s="114"/>
      <c r="G32" s="117"/>
      <c r="H32" s="114"/>
      <c r="I32" s="114"/>
      <c r="J32" s="114"/>
      <c r="K32" s="114"/>
      <c r="L32" s="114"/>
    </row>
    <row r="33" spans="2:17" ht="29.25" customHeight="1" x14ac:dyDescent="0.2">
      <c r="B33" s="132" t="s">
        <v>85</v>
      </c>
      <c r="C33" s="133"/>
      <c r="D33" s="133"/>
      <c r="E33" s="133"/>
      <c r="F33" s="133"/>
      <c r="G33" s="133"/>
      <c r="H33" s="133"/>
      <c r="I33" s="133"/>
      <c r="J33" s="133"/>
      <c r="K33" s="133"/>
      <c r="L33" s="133"/>
    </row>
    <row r="34" spans="2:17" ht="17.25" customHeight="1" x14ac:dyDescent="0.2">
      <c r="B34" s="133"/>
      <c r="C34" s="133"/>
      <c r="D34" s="133"/>
      <c r="E34" s="133"/>
      <c r="F34" s="133"/>
      <c r="G34" s="133"/>
      <c r="H34" s="133"/>
      <c r="I34" s="133"/>
      <c r="J34" s="133"/>
      <c r="K34" s="133"/>
      <c r="L34" s="133"/>
    </row>
    <row r="35" spans="2:17" ht="12.75" customHeight="1" x14ac:dyDescent="0.2">
      <c r="B35" s="133"/>
      <c r="C35" s="133"/>
      <c r="D35" s="133"/>
      <c r="E35" s="133"/>
      <c r="F35" s="133"/>
      <c r="G35" s="133"/>
      <c r="H35" s="133"/>
      <c r="I35" s="133"/>
      <c r="J35" s="133"/>
      <c r="K35" s="133"/>
      <c r="L35" s="133"/>
    </row>
    <row r="36" spans="2:17" ht="12.75" customHeight="1" x14ac:dyDescent="0.2">
      <c r="B36" s="133"/>
      <c r="C36" s="133"/>
      <c r="D36" s="133"/>
      <c r="E36" s="133"/>
      <c r="F36" s="133"/>
      <c r="G36" s="133"/>
      <c r="H36" s="133"/>
      <c r="I36" s="133"/>
      <c r="J36" s="133"/>
      <c r="K36" s="133"/>
      <c r="L36" s="133"/>
    </row>
    <row r="37" spans="2:17" x14ac:dyDescent="0.2">
      <c r="B37" s="133"/>
      <c r="C37" s="133"/>
      <c r="D37" s="133"/>
      <c r="E37" s="133"/>
      <c r="F37" s="133"/>
      <c r="G37" s="133"/>
      <c r="H37" s="133"/>
      <c r="I37" s="133"/>
      <c r="J37" s="133"/>
      <c r="K37" s="133"/>
      <c r="L37" s="133"/>
    </row>
    <row r="38" spans="2:17" ht="15.75" hidden="1" x14ac:dyDescent="0.25">
      <c r="B38" s="118"/>
      <c r="C38" s="118"/>
      <c r="D38" s="118"/>
      <c r="E38" s="118"/>
      <c r="F38" s="118"/>
      <c r="G38" s="118"/>
      <c r="H38" s="118"/>
      <c r="I38" s="118"/>
      <c r="J38" s="118"/>
      <c r="K38" s="118"/>
      <c r="L38" s="118"/>
    </row>
    <row r="39" spans="2:17" ht="15.75" x14ac:dyDescent="0.25">
      <c r="B39" s="118"/>
      <c r="C39" s="118"/>
      <c r="D39" s="118"/>
      <c r="E39" s="118"/>
      <c r="F39" s="118"/>
      <c r="G39" s="118"/>
      <c r="H39" s="118"/>
      <c r="I39" s="118"/>
      <c r="J39" s="118"/>
      <c r="K39" s="118"/>
      <c r="L39" s="118"/>
    </row>
    <row r="40" spans="2:17" ht="15.75" x14ac:dyDescent="0.25">
      <c r="B40" s="119" t="s">
        <v>73</v>
      </c>
      <c r="C40" s="114"/>
      <c r="D40" s="115"/>
      <c r="E40" s="115"/>
      <c r="F40" s="115"/>
      <c r="G40" s="115"/>
      <c r="H40" s="115"/>
      <c r="I40" s="115"/>
      <c r="J40" s="115"/>
      <c r="K40" s="115"/>
      <c r="L40" s="115"/>
    </row>
    <row r="41" spans="2:17" s="119" customFormat="1" ht="18.75" customHeight="1" x14ac:dyDescent="0.25">
      <c r="B41" s="114" t="s">
        <v>74</v>
      </c>
    </row>
    <row r="42" spans="2:17" s="114" customFormat="1" ht="18" customHeight="1" x14ac:dyDescent="0.25">
      <c r="B42" s="120"/>
      <c r="C42" s="134" t="s">
        <v>51</v>
      </c>
      <c r="D42" s="135"/>
      <c r="E42" s="135"/>
      <c r="I42" s="134" t="s">
        <v>52</v>
      </c>
      <c r="J42" s="135"/>
      <c r="K42" s="135"/>
      <c r="L42" s="135"/>
    </row>
    <row r="43" spans="2:17" ht="18" customHeight="1" x14ac:dyDescent="0.2">
      <c r="B43" s="132" t="s">
        <v>65</v>
      </c>
      <c r="C43" s="132"/>
      <c r="D43" s="132"/>
      <c r="E43" s="132"/>
      <c r="F43" s="132"/>
      <c r="G43" s="132"/>
      <c r="H43" s="132"/>
      <c r="I43" s="132"/>
      <c r="J43" s="132"/>
      <c r="K43" s="132"/>
      <c r="L43" s="132"/>
    </row>
    <row r="44" spans="2:17" ht="12.75" customHeight="1" x14ac:dyDescent="0.2">
      <c r="B44" s="132"/>
      <c r="C44" s="132"/>
      <c r="D44" s="132"/>
      <c r="E44" s="132"/>
      <c r="F44" s="132"/>
      <c r="G44" s="132"/>
      <c r="H44" s="132"/>
      <c r="I44" s="132"/>
      <c r="J44" s="132"/>
      <c r="K44" s="132"/>
      <c r="L44" s="132"/>
    </row>
    <row r="45" spans="2:17" ht="15.75" x14ac:dyDescent="0.25">
      <c r="B45" s="114" t="s">
        <v>66</v>
      </c>
      <c r="C45" s="114"/>
      <c r="D45" s="114"/>
      <c r="E45" s="121"/>
      <c r="F45" s="114"/>
      <c r="G45" s="114"/>
      <c r="H45" s="114"/>
      <c r="I45" s="114"/>
      <c r="J45" s="114"/>
      <c r="K45" s="114"/>
      <c r="L45" s="114"/>
      <c r="P45" s="122"/>
      <c r="Q45" s="122"/>
    </row>
    <row r="46" spans="2:17" ht="15.75" x14ac:dyDescent="0.25">
      <c r="B46" s="114" t="s">
        <v>75</v>
      </c>
      <c r="C46" s="114"/>
      <c r="D46" s="114"/>
      <c r="E46" s="121"/>
      <c r="F46" s="114"/>
      <c r="G46" s="114"/>
      <c r="H46" s="114"/>
      <c r="I46" s="114"/>
      <c r="J46" s="114"/>
      <c r="K46" s="114"/>
      <c r="L46" s="114"/>
      <c r="P46" s="122"/>
      <c r="Q46" s="122"/>
    </row>
    <row r="47" spans="2:17" ht="15.75" x14ac:dyDescent="0.25">
      <c r="B47" s="114" t="s">
        <v>53</v>
      </c>
      <c r="C47" s="114"/>
      <c r="D47" s="114"/>
      <c r="E47" s="114"/>
      <c r="F47" s="114"/>
      <c r="G47" s="114"/>
      <c r="H47" s="114"/>
      <c r="I47" s="114"/>
      <c r="J47" s="114"/>
      <c r="K47" s="114"/>
      <c r="L47" s="114"/>
      <c r="P47" s="122"/>
      <c r="Q47" s="122"/>
    </row>
    <row r="48" spans="2:17" ht="15.75" x14ac:dyDescent="0.25">
      <c r="B48" s="114" t="s">
        <v>29</v>
      </c>
      <c r="C48" s="114"/>
      <c r="D48" s="114"/>
      <c r="E48" s="114"/>
      <c r="F48" s="114"/>
      <c r="G48" s="114"/>
      <c r="H48" s="114"/>
      <c r="I48" s="114"/>
      <c r="J48" s="114"/>
      <c r="K48" s="114"/>
      <c r="L48" s="114"/>
      <c r="P48" s="136"/>
      <c r="Q48" s="136"/>
    </row>
    <row r="49" spans="2:12" ht="15.75" x14ac:dyDescent="0.25">
      <c r="B49" s="126" t="s">
        <v>76</v>
      </c>
      <c r="C49" s="127"/>
      <c r="D49" s="127"/>
      <c r="E49" s="114"/>
      <c r="F49" s="114"/>
      <c r="G49" s="128"/>
      <c r="H49" s="127"/>
      <c r="I49" s="127"/>
      <c r="J49" s="114"/>
      <c r="K49" s="114"/>
      <c r="L49" s="114"/>
    </row>
    <row r="50" spans="2:12" ht="15.75" x14ac:dyDescent="0.25">
      <c r="B50" s="123" t="s">
        <v>77</v>
      </c>
      <c r="C50" s="124"/>
      <c r="D50" s="113"/>
      <c r="E50" s="114"/>
      <c r="F50" s="114"/>
      <c r="G50" s="125"/>
      <c r="H50" s="113"/>
      <c r="I50" s="113"/>
      <c r="J50" s="114"/>
      <c r="K50" s="114"/>
      <c r="L50" s="114"/>
    </row>
    <row r="51" spans="2:12" ht="15.75" x14ac:dyDescent="0.25">
      <c r="B51" s="114"/>
      <c r="C51" s="115"/>
      <c r="D51" s="114"/>
      <c r="E51" s="114"/>
      <c r="F51" s="114"/>
      <c r="G51" s="114"/>
      <c r="H51" s="114"/>
      <c r="I51" s="114"/>
      <c r="J51" s="114"/>
      <c r="K51" s="114"/>
      <c r="L51" s="114"/>
    </row>
    <row r="52" spans="2:12" ht="15.75" x14ac:dyDescent="0.25">
      <c r="B52" s="119" t="s">
        <v>78</v>
      </c>
      <c r="C52" s="115"/>
      <c r="D52" s="114"/>
      <c r="E52" s="114"/>
      <c r="F52" s="114"/>
      <c r="G52" s="114"/>
      <c r="H52" s="114"/>
      <c r="I52" s="114"/>
      <c r="J52" s="114"/>
      <c r="K52" s="114"/>
      <c r="L52" s="114"/>
    </row>
    <row r="53" spans="2:12" ht="14.25" customHeight="1" x14ac:dyDescent="0.2">
      <c r="B53" s="129" t="s">
        <v>79</v>
      </c>
      <c r="C53" s="129"/>
      <c r="D53" s="129"/>
      <c r="E53" s="129"/>
      <c r="F53" s="129"/>
      <c r="G53" s="129"/>
      <c r="H53" s="129"/>
      <c r="I53" s="129"/>
      <c r="J53" s="129"/>
      <c r="K53" s="129"/>
      <c r="L53" s="129"/>
    </row>
    <row r="54" spans="2:12" ht="34.5" customHeight="1" x14ac:dyDescent="0.2">
      <c r="B54" s="129"/>
      <c r="C54" s="129"/>
      <c r="D54" s="129"/>
      <c r="E54" s="129"/>
      <c r="F54" s="129"/>
      <c r="G54" s="129"/>
      <c r="H54" s="129"/>
      <c r="I54" s="129"/>
      <c r="J54" s="129"/>
      <c r="K54" s="129"/>
      <c r="L54" s="129"/>
    </row>
    <row r="55" spans="2:12" x14ac:dyDescent="0.2">
      <c r="B55" s="130" t="s">
        <v>89</v>
      </c>
      <c r="C55" s="130"/>
      <c r="D55" s="130"/>
      <c r="E55" s="130"/>
      <c r="F55" s="130"/>
      <c r="G55" s="130"/>
      <c r="H55" s="130"/>
      <c r="I55" s="130"/>
      <c r="J55" s="130"/>
      <c r="K55" s="130"/>
      <c r="L55" s="130"/>
    </row>
    <row r="56" spans="2:12" ht="16.5" customHeight="1" x14ac:dyDescent="0.2">
      <c r="B56" s="130"/>
      <c r="C56" s="130"/>
      <c r="D56" s="130"/>
      <c r="E56" s="130"/>
      <c r="F56" s="130"/>
      <c r="G56" s="130"/>
      <c r="H56" s="130"/>
      <c r="I56" s="130"/>
      <c r="J56" s="130"/>
      <c r="K56" s="130"/>
      <c r="L56" s="130"/>
    </row>
  </sheetData>
  <sheetProtection algorithmName="SHA-512" hashValue="tSVlig38i/HeHb1JMYPANO5a3QMdbb1PPp+OQ/XjKEVpiQ7RPxVxgvId4pL1zUujkqhQXR8+Oq7ebLCYBAsv7A==" saltValue="kOSX71+ADIIqU+QBnuW8KQ==" spinCount="100000" sheet="1" objects="1" scenarios="1"/>
  <mergeCells count="16">
    <mergeCell ref="P48:Q48"/>
    <mergeCell ref="B5:I6"/>
    <mergeCell ref="N5:X6"/>
    <mergeCell ref="C8:D8"/>
    <mergeCell ref="E8:F8"/>
    <mergeCell ref="N8:N9"/>
    <mergeCell ref="B29:L30"/>
    <mergeCell ref="B49:D49"/>
    <mergeCell ref="G49:I49"/>
    <mergeCell ref="B53:L54"/>
    <mergeCell ref="B55:L56"/>
    <mergeCell ref="B31:E31"/>
    <mergeCell ref="B33:L37"/>
    <mergeCell ref="C42:E42"/>
    <mergeCell ref="I42:L42"/>
    <mergeCell ref="B43:L44"/>
  </mergeCells>
  <hyperlinks>
    <hyperlink ref="B49" r:id="rId1"/>
    <hyperlink ref="C42" r:id="rId2"/>
    <hyperlink ref="I42" r:id="rId3"/>
  </hyperlinks>
  <printOptions horizontalCentered="1"/>
  <pageMargins left="0.75" right="0.75" top="1" bottom="1" header="0.5" footer="0.5"/>
  <pageSetup scale="72"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G24" sqref="G24"/>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49</v>
      </c>
      <c r="C2" s="7"/>
      <c r="D2" s="7"/>
      <c r="E2" s="7"/>
      <c r="F2" s="7"/>
      <c r="G2" s="7"/>
      <c r="H2" s="7"/>
      <c r="I2" s="7"/>
      <c r="J2" s="7"/>
      <c r="K2" s="7"/>
      <c r="L2" s="7"/>
      <c r="M2" s="38"/>
      <c r="N2" s="7"/>
      <c r="O2" s="7"/>
      <c r="P2" s="7"/>
      <c r="Q2" s="7"/>
    </row>
    <row r="4" spans="2:19" ht="13.5" thickBot="1" x14ac:dyDescent="0.25">
      <c r="B4" s="148" t="s">
        <v>38</v>
      </c>
      <c r="C4" s="148"/>
      <c r="D4" s="148"/>
      <c r="E4" s="148"/>
      <c r="F4" s="148"/>
      <c r="G4" s="148"/>
      <c r="H4" s="52">
        <v>43949</v>
      </c>
      <c r="J4" s="7"/>
      <c r="K4" s="7"/>
      <c r="L4" s="11" t="s">
        <v>15</v>
      </c>
      <c r="M4" s="11" t="s">
        <v>22</v>
      </c>
      <c r="N4" s="11" t="s">
        <v>8</v>
      </c>
      <c r="O4" s="11" t="s">
        <v>9</v>
      </c>
      <c r="P4" s="11" t="s">
        <v>8</v>
      </c>
      <c r="Q4" s="11" t="s">
        <v>9</v>
      </c>
    </row>
    <row r="5" spans="2:19" x14ac:dyDescent="0.2">
      <c r="B5" s="148" t="str">
        <f>"Number of head (number of head to match futures contract = "&amp;FIXED(L117/H6,0)&amp;")"</f>
        <v>Number of head (number of head to match futures contract = 91)</v>
      </c>
      <c r="C5" s="148"/>
      <c r="D5" s="148"/>
      <c r="E5" s="148"/>
      <c r="F5" s="148"/>
      <c r="G5" s="148"/>
      <c r="H5" s="53">
        <v>45</v>
      </c>
      <c r="J5" s="5" t="s">
        <v>19</v>
      </c>
      <c r="L5" s="54">
        <v>1</v>
      </c>
      <c r="M5" s="54">
        <v>45</v>
      </c>
      <c r="N5" s="54">
        <v>1</v>
      </c>
      <c r="O5" s="54">
        <v>1</v>
      </c>
      <c r="P5" s="54">
        <v>1</v>
      </c>
      <c r="Q5" s="54">
        <v>1</v>
      </c>
    </row>
    <row r="6" spans="2:19" x14ac:dyDescent="0.2">
      <c r="B6" s="148" t="str">
        <f>"Expected weight at time of sale, lbs/head -- "&amp;IF(H6&lt;L115,"(use weight 1 for LRP)","(use weight 2 for LRP)")</f>
        <v>Expected weight at time of sale, lbs/head -- (use weight 1 for LRP)</v>
      </c>
      <c r="C6" s="148"/>
      <c r="D6" s="148"/>
      <c r="E6" s="148"/>
      <c r="F6" s="148"/>
      <c r="G6" s="148"/>
      <c r="H6" s="53">
        <v>550</v>
      </c>
      <c r="J6" s="5" t="s">
        <v>20</v>
      </c>
      <c r="L6" s="9"/>
      <c r="M6" s="64">
        <v>138.59</v>
      </c>
      <c r="N6" s="64">
        <v>126</v>
      </c>
      <c r="O6" s="64">
        <v>140</v>
      </c>
      <c r="P6" s="64">
        <v>136</v>
      </c>
      <c r="Q6" s="64">
        <v>138</v>
      </c>
    </row>
    <row r="7" spans="2:19" ht="13.5" thickBot="1" x14ac:dyDescent="0.25">
      <c r="B7" s="148" t="s">
        <v>24</v>
      </c>
      <c r="C7" s="148"/>
      <c r="D7" s="148"/>
      <c r="E7" s="148"/>
      <c r="F7" s="148"/>
      <c r="G7" s="148"/>
      <c r="H7" s="8">
        <f>H5*H6</f>
        <v>24750</v>
      </c>
      <c r="J7" s="7" t="s">
        <v>21</v>
      </c>
      <c r="K7" s="7"/>
      <c r="L7" s="7"/>
      <c r="M7" s="42">
        <f>VLOOKUP(M6,B105:D117,3,1)</f>
        <v>10.148999999999999</v>
      </c>
      <c r="N7" s="14">
        <f>VLOOKUP(N6,B22:D34,2,1)</f>
        <v>7.8</v>
      </c>
      <c r="O7" s="14">
        <f>VLOOKUP(O6,B22:D34,3,1)</f>
        <v>5.55</v>
      </c>
      <c r="P7" s="14">
        <f>VLOOKUP(P6,B22:D34,2,1)</f>
        <v>12.5</v>
      </c>
      <c r="Q7" s="14">
        <f>IF(Q6=0,0,VLOOKUP(Q6,B22:D34,3,1))</f>
        <v>6.375</v>
      </c>
    </row>
    <row r="8" spans="2:19" x14ac:dyDescent="0.2">
      <c r="B8" s="148" t="s">
        <v>11</v>
      </c>
      <c r="C8" s="148"/>
      <c r="D8" s="148"/>
      <c r="E8" s="148"/>
      <c r="F8" s="148"/>
      <c r="G8" s="148"/>
      <c r="H8" s="52">
        <v>44130</v>
      </c>
      <c r="M8" s="10" t="str">
        <f>IF(M5&gt;H5,"Cannot buy LRP for more cattle than owned!","")</f>
        <v/>
      </c>
      <c r="O8" s="84" t="s">
        <v>64</v>
      </c>
    </row>
    <row r="9" spans="2:19" x14ac:dyDescent="0.2">
      <c r="B9" s="148" t="s">
        <v>40</v>
      </c>
      <c r="C9" s="148"/>
      <c r="D9" s="148"/>
      <c r="E9" s="148"/>
      <c r="F9" s="148"/>
      <c r="G9" s="148"/>
      <c r="H9" s="53" t="s">
        <v>41</v>
      </c>
      <c r="K9" s="77" t="s">
        <v>54</v>
      </c>
      <c r="L9" s="77"/>
      <c r="M9" s="77"/>
      <c r="N9" s="77"/>
      <c r="O9" s="77"/>
      <c r="P9" s="77"/>
    </row>
    <row r="10" spans="2:19" x14ac:dyDescent="0.2">
      <c r="J10" s="16" t="s">
        <v>15</v>
      </c>
      <c r="K10" s="16"/>
      <c r="L10" s="16"/>
      <c r="M10" s="16"/>
      <c r="N10" s="16"/>
      <c r="O10" s="16" t="s">
        <v>1</v>
      </c>
      <c r="P10" s="16"/>
    </row>
    <row r="11" spans="2:19" ht="13.5" thickBot="1" x14ac:dyDescent="0.25">
      <c r="B11" s="148" t="s">
        <v>26</v>
      </c>
      <c r="C11" s="148"/>
      <c r="D11" s="148"/>
      <c r="E11" s="148"/>
      <c r="F11" s="148"/>
      <c r="G11" s="148"/>
      <c r="H11" s="53" t="s">
        <v>92</v>
      </c>
      <c r="J11" s="17" t="s">
        <v>10</v>
      </c>
      <c r="K11" s="17" t="s">
        <v>0</v>
      </c>
      <c r="L11" s="17" t="s">
        <v>1</v>
      </c>
      <c r="M11" s="17" t="s">
        <v>22</v>
      </c>
      <c r="N11" s="17" t="s">
        <v>8</v>
      </c>
      <c r="O11" s="17" t="s">
        <v>35</v>
      </c>
      <c r="P11" s="17" t="s">
        <v>23</v>
      </c>
      <c r="Q11" s="7"/>
    </row>
    <row r="12" spans="2:19" x14ac:dyDescent="0.2">
      <c r="B12" s="148" t="s">
        <v>3</v>
      </c>
      <c r="C12" s="148"/>
      <c r="D12" s="148"/>
      <c r="E12" s="148"/>
      <c r="F12" s="148"/>
      <c r="G12" s="148"/>
      <c r="H12" s="55">
        <v>60</v>
      </c>
      <c r="J12" s="65">
        <v>120</v>
      </c>
      <c r="K12" s="66">
        <f t="shared" ref="K12:K20" si="0">J12+H$15</f>
        <v>134.56</v>
      </c>
      <c r="L12" s="67">
        <f t="shared" ref="L12:L20" si="1">IF(L$5=0,"n/a",(K12/100*H$7+((H$14-J12)*L$117/100-H$12)*L$5)/H$7*100)</f>
        <v>155.98424242424244</v>
      </c>
      <c r="M12" s="68">
        <f>IF(OR(M$5=0,M$5&gt;H$5),"n/a",(K12/100*H$7-M$7*H$6/100*M$5+IF(M$6&gt;J12*L$113,(M$6-J12*L$113)*H$6/100*M$5,0))/H$7*100)</f>
        <v>131.00100000000003</v>
      </c>
      <c r="N12" s="67">
        <f>IF(N$5=0,"n/a",(K12/100*H$7-(N$7*L$117/100+H$13)*N$5+IF(N$6&gt;J12,((N$6-J12)*L$117/100-H$13)*N$5))/H$7*100)</f>
        <v>130.68121212121216</v>
      </c>
      <c r="O12" s="67">
        <f t="shared" ref="O12:O20" si="2">IF(O$5=0,"n/a",(K12/100*H$7+((H$14-J12)*L$117/100-H$12)*L$5-(O$7*L$117/100+H$13)*O$5+IF(J12&gt;O$6,((J12-O$6)*L$117/100-H$13)*O$5,0))/H$7*100)</f>
        <v>144.65090909090912</v>
      </c>
      <c r="P12" s="67">
        <f>IF(SUM(P$5:Q$5)=0,"n/a",(K12/100*H$7-(P$7*L$117/100+H$13)*P$5+(Q$7*L$117/100-H$13)*Q$5+IF(P$6&gt;J12,((P$6-J12)*L$117/100-H$13)*P$5)-IF(Q$6&lt;J12,((J12-Q$6)*L$117/100+H$13)*Q$5))/H$7*100)</f>
        <v>154.1458585858586</v>
      </c>
      <c r="Q12" s="31">
        <f>MAX(K12:P12)</f>
        <v>155.98424242424244</v>
      </c>
    </row>
    <row r="13" spans="2:19" x14ac:dyDescent="0.2">
      <c r="B13" s="148" t="s">
        <v>4</v>
      </c>
      <c r="C13" s="148"/>
      <c r="D13" s="148"/>
      <c r="E13" s="148"/>
      <c r="F13" s="148"/>
      <c r="G13" s="148"/>
      <c r="H13" s="55">
        <v>30</v>
      </c>
      <c r="J13" s="69">
        <f t="shared" ref="J13:J20" si="3">+J12+J$21</f>
        <v>125</v>
      </c>
      <c r="K13" s="69">
        <f t="shared" si="0"/>
        <v>139.56</v>
      </c>
      <c r="L13" s="68">
        <f t="shared" si="1"/>
        <v>150.88323232323231</v>
      </c>
      <c r="M13" s="68">
        <f t="shared" ref="M13:M20" si="4">IF(OR(M$5=0,M$5&gt;H$5),"n/a",(K13/100*H$7-M$7*H$6/100*M$5+IF(M$6&gt;J13*L$113,(M$6-J13*L$113)*H$6/100*M$5,0))/H$7*100)</f>
        <v>130.501</v>
      </c>
      <c r="N13" s="68">
        <f t="shared" ref="N13:N20" si="5">IF(N$5=0,"n/a",(K13/100*H$7-(N$7*L$117/100+H$13)*N$5+IF(N$6&gt;J13,((N$6-J13)*L$117/100-H$13)*N$5))/H$7*100)</f>
        <v>125.58020202020201</v>
      </c>
      <c r="O13" s="68">
        <f t="shared" si="2"/>
        <v>139.54989898989899</v>
      </c>
      <c r="P13" s="68">
        <f t="shared" ref="P13:P20" si="6">IF(SUM(P$5:Q$5)=0,"n/a",(K13/100*H$7-(P$7*L$117/100+H$13)*P$5+(Q$7*L$117/100-H$13)*Q$5+IF(P$6&gt;J13,((P$6-J13)*L$117/100-H$13)*P$5)-IF(Q$6&lt;J13,((J13-Q$6)*L$117/100+H$13)*Q$5))/H$7*100)</f>
        <v>149.04484848484847</v>
      </c>
      <c r="Q13" s="37">
        <f t="shared" ref="Q13:Q20" si="7">MAX(K13:P13)</f>
        <v>150.88323232323231</v>
      </c>
    </row>
    <row r="14" spans="2:19" x14ac:dyDescent="0.2">
      <c r="B14" s="148" t="str">
        <f>"Futures price -- "&amp;H11&amp;" CME feeder cattle contract, $/cwt*"</f>
        <v>Futures price -- Nov CME feeder cattle contract, $/cwt*</v>
      </c>
      <c r="C14" s="148"/>
      <c r="D14" s="148"/>
      <c r="E14" s="148"/>
      <c r="F14" s="148"/>
      <c r="G14" s="148"/>
      <c r="H14" s="56">
        <v>130.72499999999999</v>
      </c>
      <c r="J14" s="69">
        <f t="shared" si="3"/>
        <v>130</v>
      </c>
      <c r="K14" s="69">
        <f t="shared" si="0"/>
        <v>144.56</v>
      </c>
      <c r="L14" s="68">
        <f t="shared" si="1"/>
        <v>145.7822222222222</v>
      </c>
      <c r="M14" s="68">
        <f t="shared" si="4"/>
        <v>134.411</v>
      </c>
      <c r="N14" s="68">
        <f t="shared" si="5"/>
        <v>128.6812121212121</v>
      </c>
      <c r="O14" s="68">
        <f t="shared" si="2"/>
        <v>134.44888888888889</v>
      </c>
      <c r="P14" s="68">
        <f t="shared" si="6"/>
        <v>143.94383838383837</v>
      </c>
      <c r="Q14" s="37">
        <f t="shared" si="7"/>
        <v>145.7822222222222</v>
      </c>
    </row>
    <row r="15" spans="2:19" x14ac:dyDescent="0.2">
      <c r="B15" s="148" t="str">
        <f>"Expected basis (cash - "&amp;H11&amp;" CME futures), $/cwt#"</f>
        <v>Expected basis (cash - Nov CME futures), $/cwt#</v>
      </c>
      <c r="C15" s="148"/>
      <c r="D15" s="148"/>
      <c r="E15" s="148"/>
      <c r="F15" s="148"/>
      <c r="G15" s="148"/>
      <c r="H15" s="55">
        <v>14.56</v>
      </c>
      <c r="J15" s="69">
        <f t="shared" si="3"/>
        <v>135</v>
      </c>
      <c r="K15" s="69">
        <f t="shared" si="0"/>
        <v>149.56</v>
      </c>
      <c r="L15" s="68">
        <f t="shared" si="1"/>
        <v>140.68121212121213</v>
      </c>
      <c r="M15" s="68">
        <f t="shared" si="4"/>
        <v>139.41099999999997</v>
      </c>
      <c r="N15" s="68">
        <f t="shared" si="5"/>
        <v>133.6812121212121</v>
      </c>
      <c r="O15" s="68">
        <f t="shared" si="2"/>
        <v>129.34787878787878</v>
      </c>
      <c r="P15" s="68">
        <f t="shared" si="6"/>
        <v>138.84282828282829</v>
      </c>
      <c r="Q15" s="37">
        <f t="shared" si="7"/>
        <v>149.56</v>
      </c>
      <c r="S15" s="12"/>
    </row>
    <row r="16" spans="2:19" x14ac:dyDescent="0.2">
      <c r="B16" s="148" t="s">
        <v>32</v>
      </c>
      <c r="C16" s="148"/>
      <c r="D16" s="148"/>
      <c r="E16" s="148"/>
      <c r="F16" s="148"/>
      <c r="G16" s="148"/>
      <c r="H16" s="56">
        <v>142.63499999999999</v>
      </c>
      <c r="J16" s="69">
        <f t="shared" si="3"/>
        <v>140</v>
      </c>
      <c r="K16" s="69">
        <f t="shared" si="0"/>
        <v>154.56</v>
      </c>
      <c r="L16" s="68">
        <f t="shared" si="1"/>
        <v>135.58020202020202</v>
      </c>
      <c r="M16" s="68">
        <f t="shared" si="4"/>
        <v>144.41099999999997</v>
      </c>
      <c r="N16" s="68">
        <f t="shared" si="5"/>
        <v>138.68121212121213</v>
      </c>
      <c r="O16" s="68">
        <f t="shared" si="2"/>
        <v>124.24686868686867</v>
      </c>
      <c r="P16" s="68">
        <f t="shared" si="6"/>
        <v>137.7822222222222</v>
      </c>
      <c r="Q16" s="37">
        <f t="shared" si="7"/>
        <v>154.56</v>
      </c>
      <c r="S16" s="12"/>
    </row>
    <row r="17" spans="2:17" x14ac:dyDescent="0.2">
      <c r="B17" s="148" t="s">
        <v>25</v>
      </c>
      <c r="C17" s="148"/>
      <c r="D17" s="148"/>
      <c r="E17" s="148"/>
      <c r="F17" s="148"/>
      <c r="G17" s="148"/>
      <c r="H17" s="57">
        <v>44130</v>
      </c>
      <c r="J17" s="69">
        <f t="shared" si="3"/>
        <v>145</v>
      </c>
      <c r="K17" s="69">
        <f t="shared" si="0"/>
        <v>159.56</v>
      </c>
      <c r="L17" s="68">
        <f t="shared" si="1"/>
        <v>130.47919191919192</v>
      </c>
      <c r="M17" s="68">
        <f t="shared" si="4"/>
        <v>149.411</v>
      </c>
      <c r="N17" s="68">
        <f t="shared" si="5"/>
        <v>143.68121212121216</v>
      </c>
      <c r="O17" s="68">
        <f t="shared" si="2"/>
        <v>129.12565656565658</v>
      </c>
      <c r="P17" s="68">
        <f t="shared" si="6"/>
        <v>132.68121212121216</v>
      </c>
      <c r="Q17" s="37">
        <f t="shared" si="7"/>
        <v>159.56</v>
      </c>
    </row>
    <row r="18" spans="2:17" x14ac:dyDescent="0.2">
      <c r="F18" s="13"/>
      <c r="G18" s="13"/>
      <c r="H18" s="13"/>
      <c r="J18" s="69">
        <f t="shared" si="3"/>
        <v>150</v>
      </c>
      <c r="K18" s="69">
        <f t="shared" si="0"/>
        <v>164.56</v>
      </c>
      <c r="L18" s="68">
        <f t="shared" si="1"/>
        <v>125.37818181818182</v>
      </c>
      <c r="M18" s="68">
        <f t="shared" si="4"/>
        <v>154.411</v>
      </c>
      <c r="N18" s="68">
        <f t="shared" si="5"/>
        <v>148.68121212121213</v>
      </c>
      <c r="O18" s="68">
        <f t="shared" si="2"/>
        <v>134.12565656565656</v>
      </c>
      <c r="P18" s="68">
        <f t="shared" si="6"/>
        <v>127.58020202020202</v>
      </c>
      <c r="Q18" s="37">
        <f t="shared" si="7"/>
        <v>164.56</v>
      </c>
    </row>
    <row r="19" spans="2:17" x14ac:dyDescent="0.2">
      <c r="B19" s="149" t="s">
        <v>6</v>
      </c>
      <c r="C19" s="149"/>
      <c r="D19" s="149"/>
      <c r="F19" s="149" t="s">
        <v>14</v>
      </c>
      <c r="G19" s="149"/>
      <c r="H19" s="149"/>
      <c r="J19" s="69">
        <f t="shared" si="3"/>
        <v>155</v>
      </c>
      <c r="K19" s="69">
        <f t="shared" si="0"/>
        <v>169.56</v>
      </c>
      <c r="L19" s="68">
        <f t="shared" si="1"/>
        <v>120.27717171717171</v>
      </c>
      <c r="M19" s="68">
        <f t="shared" si="4"/>
        <v>159.411</v>
      </c>
      <c r="N19" s="68">
        <f t="shared" si="5"/>
        <v>153.6812121212121</v>
      </c>
      <c r="O19" s="68">
        <f t="shared" si="2"/>
        <v>139.12565656565656</v>
      </c>
      <c r="P19" s="68">
        <f t="shared" si="6"/>
        <v>122.47919191919192</v>
      </c>
      <c r="Q19" s="37">
        <f t="shared" si="7"/>
        <v>169.56</v>
      </c>
    </row>
    <row r="20" spans="2:17" ht="13.5" thickBot="1" x14ac:dyDescent="0.25">
      <c r="B20" s="16" t="s">
        <v>7</v>
      </c>
      <c r="C20" s="16" t="s">
        <v>8</v>
      </c>
      <c r="D20" s="16" t="s">
        <v>9</v>
      </c>
      <c r="F20" s="13" t="s">
        <v>16</v>
      </c>
      <c r="G20" s="13"/>
      <c r="H20" s="16" t="s">
        <v>31</v>
      </c>
      <c r="J20" s="70">
        <f t="shared" si="3"/>
        <v>160</v>
      </c>
      <c r="K20" s="70">
        <f t="shared" si="0"/>
        <v>174.56</v>
      </c>
      <c r="L20" s="71">
        <f t="shared" si="1"/>
        <v>115.17616161616162</v>
      </c>
      <c r="M20" s="72">
        <f t="shared" si="4"/>
        <v>164.41099999999997</v>
      </c>
      <c r="N20" s="71">
        <f t="shared" si="5"/>
        <v>158.6812121212121</v>
      </c>
      <c r="O20" s="71">
        <f t="shared" si="2"/>
        <v>144.12565656565656</v>
      </c>
      <c r="P20" s="71">
        <f t="shared" si="6"/>
        <v>117.3781818181818</v>
      </c>
      <c r="Q20" s="32">
        <f t="shared" si="7"/>
        <v>174.56</v>
      </c>
    </row>
    <row r="21" spans="2:17" ht="13.5" thickBot="1" x14ac:dyDescent="0.25">
      <c r="B21" s="17" t="s">
        <v>17</v>
      </c>
      <c r="C21" s="17" t="s">
        <v>17</v>
      </c>
      <c r="D21" s="17" t="s">
        <v>17</v>
      </c>
      <c r="E21" s="7"/>
      <c r="F21" s="17" t="s">
        <v>17</v>
      </c>
      <c r="G21" s="20" t="s">
        <v>18</v>
      </c>
      <c r="H21" s="17" t="s">
        <v>17</v>
      </c>
      <c r="J21" s="65">
        <v>5</v>
      </c>
      <c r="K21" s="5" t="s">
        <v>2</v>
      </c>
      <c r="N21" s="12"/>
      <c r="O21" s="30"/>
      <c r="P21" s="30"/>
      <c r="Q21" s="33" t="s">
        <v>36</v>
      </c>
    </row>
    <row r="22" spans="2:17" x14ac:dyDescent="0.2">
      <c r="B22" s="18">
        <f t="shared" ref="B22:B27" si="8">B23-2</f>
        <v>120</v>
      </c>
      <c r="C22" s="58"/>
      <c r="D22" s="58"/>
      <c r="F22" s="61">
        <v>140.79</v>
      </c>
      <c r="G22" s="21">
        <f>F22/H$16</f>
        <v>0.98706488589757069</v>
      </c>
      <c r="H22" s="61">
        <v>11.226000000000001</v>
      </c>
    </row>
    <row r="23" spans="2:17" ht="13.5" thickBot="1" x14ac:dyDescent="0.25">
      <c r="B23" s="34">
        <f t="shared" si="8"/>
        <v>122</v>
      </c>
      <c r="C23" s="62"/>
      <c r="D23" s="62"/>
      <c r="F23" s="35">
        <f>ROUND(F22-M$113,3)</f>
        <v>138.59</v>
      </c>
      <c r="G23" s="36">
        <f t="shared" ref="G23:G34" si="9">F23/H$16</f>
        <v>0.97164090160199124</v>
      </c>
      <c r="H23" s="62">
        <v>10.148999999999999</v>
      </c>
      <c r="K23" s="50" t="s">
        <v>0</v>
      </c>
      <c r="L23" s="50" t="s">
        <v>50</v>
      </c>
      <c r="M23" s="51" t="str">
        <f>"LRP, ($"&amp;FIXED(M6,0)&amp;")"</f>
        <v>LRP, ($139)</v>
      </c>
      <c r="N23" s="51" t="str">
        <f>"Put, ($"&amp;FIXED(N6,0)&amp;")"</f>
        <v>Put, ($126)</v>
      </c>
      <c r="O23" s="51" t="str">
        <f>"Hedge &amp; Call, ($"&amp;FIXED(O6,0)&amp;")"</f>
        <v>Hedge &amp; Call, ($140)</v>
      </c>
      <c r="P23" s="51" t="str">
        <f>"Put &amp; Call, ($"&amp;FIXED(P6,0)&amp;"/$"&amp;FIXED(Q6,0)&amp;")"</f>
        <v>Put &amp; Call, ($136/$138)</v>
      </c>
      <c r="Q23" s="51"/>
    </row>
    <row r="24" spans="2:17" x14ac:dyDescent="0.2">
      <c r="B24" s="34">
        <f t="shared" si="8"/>
        <v>124</v>
      </c>
      <c r="C24" s="62">
        <v>7.05</v>
      </c>
      <c r="D24" s="62">
        <v>13.775</v>
      </c>
      <c r="F24" s="35">
        <f t="shared" ref="F24:F33" si="10">ROUND(F23-M$113,3)</f>
        <v>136.38999999999999</v>
      </c>
      <c r="G24" s="36">
        <f t="shared" si="9"/>
        <v>0.95621691730641145</v>
      </c>
      <c r="H24" s="62">
        <v>9.1440000000000001</v>
      </c>
    </row>
    <row r="25" spans="2:17" x14ac:dyDescent="0.2">
      <c r="B25" s="34">
        <f t="shared" si="8"/>
        <v>126</v>
      </c>
      <c r="C25" s="62">
        <v>7.8</v>
      </c>
      <c r="D25" s="62">
        <v>12.525</v>
      </c>
      <c r="F25" s="35">
        <f t="shared" si="10"/>
        <v>134.19</v>
      </c>
      <c r="G25" s="36">
        <f t="shared" si="9"/>
        <v>0.94079293301083189</v>
      </c>
      <c r="H25" s="62">
        <v>8.2330000000000005</v>
      </c>
    </row>
    <row r="26" spans="2:17" x14ac:dyDescent="0.2">
      <c r="B26" s="34">
        <f t="shared" si="8"/>
        <v>128</v>
      </c>
      <c r="C26" s="62">
        <v>8.625</v>
      </c>
      <c r="D26" s="62">
        <v>11.35</v>
      </c>
      <c r="F26" s="35">
        <f t="shared" si="10"/>
        <v>131.99</v>
      </c>
      <c r="G26" s="36">
        <f t="shared" si="9"/>
        <v>0.92536894871525233</v>
      </c>
      <c r="H26" s="62">
        <v>7.3869999999999996</v>
      </c>
    </row>
    <row r="27" spans="2:17" x14ac:dyDescent="0.2">
      <c r="B27" s="34">
        <f t="shared" si="8"/>
        <v>130</v>
      </c>
      <c r="C27" s="62">
        <v>9.5</v>
      </c>
      <c r="D27" s="62">
        <v>10.225</v>
      </c>
      <c r="F27" s="35">
        <f t="shared" si="10"/>
        <v>129.79</v>
      </c>
      <c r="G27" s="36">
        <f t="shared" si="9"/>
        <v>0.90994496441967254</v>
      </c>
      <c r="H27" s="62">
        <v>6.5970000000000004</v>
      </c>
    </row>
    <row r="28" spans="2:17" x14ac:dyDescent="0.2">
      <c r="B28" s="34">
        <f>EVEN(ROUND(H14,0))</f>
        <v>132</v>
      </c>
      <c r="C28" s="62">
        <v>10.45</v>
      </c>
      <c r="D28" s="62">
        <v>9.1750000000000007</v>
      </c>
      <c r="F28" s="35">
        <f t="shared" si="10"/>
        <v>127.59</v>
      </c>
      <c r="G28" s="36">
        <f t="shared" si="9"/>
        <v>0.89452098012409309</v>
      </c>
      <c r="H28" s="62">
        <v>5.8760000000000003</v>
      </c>
    </row>
    <row r="29" spans="2:17" x14ac:dyDescent="0.2">
      <c r="B29" s="34">
        <f t="shared" ref="B29:B34" si="11">B28+2</f>
        <v>134</v>
      </c>
      <c r="C29" s="62">
        <v>11.45</v>
      </c>
      <c r="D29" s="62">
        <v>8.1750000000000007</v>
      </c>
      <c r="F29" s="35">
        <f t="shared" si="10"/>
        <v>125.39</v>
      </c>
      <c r="G29" s="36">
        <f t="shared" si="9"/>
        <v>0.87909699582851342</v>
      </c>
      <c r="H29" s="62">
        <v>5.2190000000000003</v>
      </c>
    </row>
    <row r="30" spans="2:17" x14ac:dyDescent="0.2">
      <c r="B30" s="34">
        <f t="shared" si="11"/>
        <v>136</v>
      </c>
      <c r="C30" s="62">
        <v>12.5</v>
      </c>
      <c r="D30" s="62">
        <v>7.25</v>
      </c>
      <c r="F30" s="35">
        <f t="shared" si="10"/>
        <v>123.19</v>
      </c>
      <c r="G30" s="36">
        <f t="shared" si="9"/>
        <v>0.86367301153293374</v>
      </c>
      <c r="H30" s="62">
        <v>4.6260000000000003</v>
      </c>
    </row>
    <row r="31" spans="2:17" x14ac:dyDescent="0.2">
      <c r="B31" s="34">
        <f t="shared" si="11"/>
        <v>138</v>
      </c>
      <c r="C31" s="62">
        <v>13.625</v>
      </c>
      <c r="D31" s="62">
        <v>6.375</v>
      </c>
      <c r="F31" s="35">
        <f t="shared" si="10"/>
        <v>120.99</v>
      </c>
      <c r="G31" s="36">
        <f t="shared" si="9"/>
        <v>0.84824902723735407</v>
      </c>
      <c r="H31" s="62">
        <v>4.09</v>
      </c>
    </row>
    <row r="32" spans="2:17" x14ac:dyDescent="0.2">
      <c r="B32" s="34">
        <f t="shared" si="11"/>
        <v>140</v>
      </c>
      <c r="C32" s="62">
        <v>14.824999999999999</v>
      </c>
      <c r="D32" s="62">
        <v>5.55</v>
      </c>
      <c r="F32" s="35">
        <f t="shared" si="10"/>
        <v>118.79</v>
      </c>
      <c r="G32" s="36">
        <f t="shared" si="9"/>
        <v>0.83282504294177451</v>
      </c>
      <c r="H32" s="62"/>
    </row>
    <row r="33" spans="2:17" x14ac:dyDescent="0.2">
      <c r="B33" s="34">
        <f t="shared" si="11"/>
        <v>142</v>
      </c>
      <c r="C33" s="59"/>
      <c r="D33" s="59"/>
      <c r="F33" s="35">
        <f t="shared" si="10"/>
        <v>116.59</v>
      </c>
      <c r="G33" s="36">
        <f t="shared" si="9"/>
        <v>0.81740105864619494</v>
      </c>
      <c r="H33" s="62"/>
    </row>
    <row r="34" spans="2:17" ht="13.5" thickBot="1" x14ac:dyDescent="0.25">
      <c r="B34" s="19">
        <f t="shared" si="11"/>
        <v>144</v>
      </c>
      <c r="C34" s="60"/>
      <c r="D34" s="60"/>
      <c r="E34" s="7"/>
      <c r="F34" s="83">
        <f>ROUND(F33-M$113,3)</f>
        <v>114.39</v>
      </c>
      <c r="G34" s="22">
        <f t="shared" si="9"/>
        <v>0.80197707435061527</v>
      </c>
      <c r="H34" s="63"/>
    </row>
    <row r="35" spans="2:17" ht="13.5" thickBot="1" x14ac:dyDescent="0.25"/>
    <row r="36" spans="2:17" x14ac:dyDescent="0.2">
      <c r="B36" s="23" t="s">
        <v>39</v>
      </c>
      <c r="C36" s="24"/>
      <c r="D36" s="24"/>
      <c r="E36" s="24"/>
      <c r="F36" s="24"/>
      <c r="G36" s="24"/>
      <c r="H36" s="85"/>
    </row>
    <row r="37" spans="2:17" x14ac:dyDescent="0.2">
      <c r="B37" s="150" t="s">
        <v>82</v>
      </c>
      <c r="C37" s="151"/>
      <c r="D37" s="151"/>
      <c r="E37" s="151"/>
      <c r="F37" s="151"/>
      <c r="G37" s="26"/>
      <c r="H37" s="86"/>
    </row>
    <row r="38" spans="2:17" x14ac:dyDescent="0.2">
      <c r="B38" s="150" t="s">
        <v>81</v>
      </c>
      <c r="C38" s="151"/>
      <c r="D38" s="151"/>
      <c r="E38" s="88"/>
      <c r="F38" s="26"/>
      <c r="G38" s="26"/>
      <c r="H38" s="86"/>
    </row>
    <row r="39" spans="2:17" x14ac:dyDescent="0.2">
      <c r="B39" s="25" t="s">
        <v>34</v>
      </c>
      <c r="C39" s="26"/>
      <c r="D39" s="26"/>
      <c r="E39" s="26"/>
      <c r="F39" s="26"/>
      <c r="G39" s="26"/>
      <c r="H39" s="86"/>
    </row>
    <row r="40" spans="2:17" x14ac:dyDescent="0.2">
      <c r="B40" s="154" t="s">
        <v>80</v>
      </c>
      <c r="C40" s="155"/>
      <c r="D40" s="155"/>
      <c r="E40" s="155"/>
      <c r="F40" s="155"/>
      <c r="G40" s="155"/>
      <c r="H40" s="156"/>
    </row>
    <row r="41" spans="2:17" x14ac:dyDescent="0.2">
      <c r="B41" s="27" t="s">
        <v>33</v>
      </c>
      <c r="C41" s="26"/>
      <c r="D41" s="26"/>
      <c r="E41" s="26"/>
      <c r="F41" s="26"/>
      <c r="G41" s="26"/>
      <c r="H41" s="86"/>
    </row>
    <row r="42" spans="2:17" ht="13.5" thickBot="1" x14ac:dyDescent="0.25">
      <c r="B42" s="152" t="s">
        <v>91</v>
      </c>
      <c r="C42" s="153"/>
      <c r="D42" s="153"/>
      <c r="E42" s="153"/>
      <c r="F42" s="153"/>
      <c r="G42" s="28"/>
      <c r="H42" s="87"/>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65</v>
      </c>
      <c r="G45" s="74" t="s">
        <v>67</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47</v>
      </c>
      <c r="C101" s="45"/>
      <c r="D101" s="45"/>
      <c r="E101" s="45"/>
      <c r="F101" s="45"/>
      <c r="G101" s="45"/>
      <c r="H101" s="45"/>
      <c r="I101" s="45"/>
      <c r="J101" s="45"/>
      <c r="K101" s="45"/>
      <c r="L101" s="45"/>
      <c r="M101" s="45"/>
      <c r="N101" s="45"/>
    </row>
    <row r="103" spans="2:14" x14ac:dyDescent="0.2">
      <c r="B103" s="13" t="s">
        <v>37</v>
      </c>
      <c r="C103" s="13"/>
      <c r="D103" s="16" t="s">
        <v>31</v>
      </c>
      <c r="L103" s="78" t="s">
        <v>61</v>
      </c>
      <c r="M103" s="78" t="s">
        <v>61</v>
      </c>
    </row>
    <row r="104" spans="2:14" ht="13.5" thickBot="1" x14ac:dyDescent="0.25">
      <c r="B104" s="17" t="s">
        <v>17</v>
      </c>
      <c r="C104" s="20" t="s">
        <v>18</v>
      </c>
      <c r="D104" s="17" t="s">
        <v>17</v>
      </c>
      <c r="F104" s="7" t="s">
        <v>40</v>
      </c>
      <c r="G104" s="7"/>
      <c r="H104" s="17" t="s">
        <v>58</v>
      </c>
      <c r="I104" s="7"/>
      <c r="J104" s="17" t="s">
        <v>59</v>
      </c>
      <c r="K104" s="17" t="s">
        <v>60</v>
      </c>
      <c r="L104" s="17" t="s">
        <v>62</v>
      </c>
      <c r="M104" s="17" t="s">
        <v>63</v>
      </c>
      <c r="N104" s="7"/>
    </row>
    <row r="105" spans="2:14" x14ac:dyDescent="0.2">
      <c r="B105" s="9">
        <f>F34</f>
        <v>114.39</v>
      </c>
      <c r="C105" s="40">
        <f t="shared" ref="C105:C117" si="12">B105/H$16</f>
        <v>0.80197707435061527</v>
      </c>
      <c r="D105" s="39" t="str">
        <f>IF(H34=0,"n/a",H34)</f>
        <v>n/a</v>
      </c>
      <c r="F105" s="5" t="s">
        <v>41</v>
      </c>
      <c r="G105" s="5" t="s">
        <v>55</v>
      </c>
      <c r="H105" s="16">
        <f t="shared" ref="H105:H112" si="13">IF(H$9=F105,1,0)</f>
        <v>1</v>
      </c>
      <c r="J105" s="16">
        <f>IF(H$6&lt;L$115,1,0)</f>
        <v>1</v>
      </c>
      <c r="K105" s="16">
        <f>H105*J105</f>
        <v>1</v>
      </c>
      <c r="L105" s="48">
        <v>1.1000000000000001</v>
      </c>
      <c r="M105" s="48">
        <v>2.2000000000000002</v>
      </c>
      <c r="N105" s="47"/>
    </row>
    <row r="106" spans="2:14" x14ac:dyDescent="0.2">
      <c r="B106" s="9">
        <f>F33</f>
        <v>116.59</v>
      </c>
      <c r="C106" s="40">
        <f t="shared" si="12"/>
        <v>0.81740105864619494</v>
      </c>
      <c r="D106" s="39" t="str">
        <f>IF(H33=0,"n/a",H33)</f>
        <v>n/a</v>
      </c>
      <c r="F106" s="5" t="s">
        <v>41</v>
      </c>
      <c r="G106" s="5" t="s">
        <v>56</v>
      </c>
      <c r="H106" s="16">
        <f t="shared" si="13"/>
        <v>1</v>
      </c>
      <c r="J106" s="16">
        <f>IF(H$6&gt;=L$115,1,0)</f>
        <v>0</v>
      </c>
      <c r="K106" s="16">
        <f t="shared" ref="K106:K112" si="14">H106*J106</f>
        <v>0</v>
      </c>
      <c r="L106" s="48">
        <v>1</v>
      </c>
      <c r="M106" s="48">
        <v>2</v>
      </c>
    </row>
    <row r="107" spans="2:14" x14ac:dyDescent="0.2">
      <c r="B107" s="9">
        <f>F32</f>
        <v>118.79</v>
      </c>
      <c r="C107" s="40">
        <f t="shared" si="12"/>
        <v>0.83282504294177451</v>
      </c>
      <c r="D107" s="39" t="str">
        <f>IF(H32=0,"n/a",H32)</f>
        <v>n/a</v>
      </c>
      <c r="F107" s="5" t="s">
        <v>42</v>
      </c>
      <c r="G107" s="5" t="s">
        <v>55</v>
      </c>
      <c r="H107" s="16">
        <f t="shared" si="13"/>
        <v>0</v>
      </c>
      <c r="J107" s="16">
        <f>IF(H$6&lt;L$115,1,0)</f>
        <v>1</v>
      </c>
      <c r="K107" s="16">
        <f t="shared" si="14"/>
        <v>0</v>
      </c>
      <c r="L107" s="48">
        <v>1</v>
      </c>
      <c r="M107" s="48">
        <v>2</v>
      </c>
      <c r="N107" s="47"/>
    </row>
    <row r="108" spans="2:14" x14ac:dyDescent="0.2">
      <c r="B108" s="9">
        <f>F31</f>
        <v>120.99</v>
      </c>
      <c r="C108" s="40">
        <f t="shared" si="12"/>
        <v>0.84824902723735407</v>
      </c>
      <c r="D108" s="39">
        <f>IF(H31=0,"n/a",H31)</f>
        <v>4.09</v>
      </c>
      <c r="F108" s="5" t="s">
        <v>42</v>
      </c>
      <c r="G108" s="5" t="s">
        <v>56</v>
      </c>
      <c r="H108" s="16">
        <f t="shared" si="13"/>
        <v>0</v>
      </c>
      <c r="J108" s="16">
        <f>IF(H$6&gt;=L$115,1,0)</f>
        <v>0</v>
      </c>
      <c r="K108" s="16">
        <f t="shared" si="14"/>
        <v>0</v>
      </c>
      <c r="L108" s="48">
        <v>0.9</v>
      </c>
      <c r="M108" s="48">
        <v>1.8</v>
      </c>
    </row>
    <row r="109" spans="2:14" x14ac:dyDescent="0.2">
      <c r="B109" s="9">
        <f>F30</f>
        <v>123.19</v>
      </c>
      <c r="C109" s="40">
        <f t="shared" si="12"/>
        <v>0.86367301153293374</v>
      </c>
      <c r="D109" s="39">
        <f>IF(H30=0,"n/a",H30)</f>
        <v>4.6260000000000003</v>
      </c>
      <c r="F109" s="5" t="s">
        <v>43</v>
      </c>
      <c r="G109" s="5" t="s">
        <v>55</v>
      </c>
      <c r="H109" s="16">
        <f t="shared" si="13"/>
        <v>0</v>
      </c>
      <c r="J109" s="16">
        <f>IF(H$6&lt;L$115,1,0)</f>
        <v>1</v>
      </c>
      <c r="K109" s="16">
        <f t="shared" si="14"/>
        <v>0</v>
      </c>
      <c r="L109" s="48">
        <v>1</v>
      </c>
      <c r="M109" s="48">
        <v>2</v>
      </c>
      <c r="N109" s="47"/>
    </row>
    <row r="110" spans="2:14" x14ac:dyDescent="0.2">
      <c r="B110" s="9">
        <f>F29</f>
        <v>125.39</v>
      </c>
      <c r="C110" s="40">
        <f t="shared" si="12"/>
        <v>0.87909699582851342</v>
      </c>
      <c r="D110" s="39">
        <f>IF(H29=0,"n/a",H29)</f>
        <v>5.2190000000000003</v>
      </c>
      <c r="F110" s="5" t="s">
        <v>43</v>
      </c>
      <c r="G110" s="5" t="s">
        <v>57</v>
      </c>
      <c r="H110" s="16">
        <f t="shared" si="13"/>
        <v>0</v>
      </c>
      <c r="J110" s="16">
        <f>IF(H$6&gt;=L$115,1,0)</f>
        <v>0</v>
      </c>
      <c r="K110" s="16">
        <f t="shared" si="14"/>
        <v>0</v>
      </c>
      <c r="L110" s="48">
        <v>0.9</v>
      </c>
      <c r="M110" s="48">
        <v>1.8</v>
      </c>
    </row>
    <row r="111" spans="2:14" x14ac:dyDescent="0.2">
      <c r="B111" s="9">
        <f>F28</f>
        <v>127.59</v>
      </c>
      <c r="C111" s="40">
        <f t="shared" si="12"/>
        <v>0.89452098012409309</v>
      </c>
      <c r="D111" s="39">
        <f>IF(H28=0,"n/a",H28)</f>
        <v>5.8760000000000003</v>
      </c>
      <c r="F111" s="5" t="s">
        <v>44</v>
      </c>
      <c r="G111" s="5" t="s">
        <v>55</v>
      </c>
      <c r="H111" s="16">
        <f t="shared" si="13"/>
        <v>0</v>
      </c>
      <c r="J111" s="16">
        <f>IF(H$6&lt;L$115,1,0)</f>
        <v>1</v>
      </c>
      <c r="K111" s="16">
        <f t="shared" si="14"/>
        <v>0</v>
      </c>
      <c r="L111" s="48">
        <v>1</v>
      </c>
      <c r="M111" s="48">
        <v>1.7</v>
      </c>
      <c r="N111" s="47"/>
    </row>
    <row r="112" spans="2:14" x14ac:dyDescent="0.2">
      <c r="B112" s="9">
        <f>F27</f>
        <v>129.79</v>
      </c>
      <c r="C112" s="40">
        <f t="shared" si="12"/>
        <v>0.90994496441967254</v>
      </c>
      <c r="D112" s="39">
        <f>IF(H27=0,"n/a",H27)</f>
        <v>6.5970000000000004</v>
      </c>
      <c r="F112" s="5" t="s">
        <v>44</v>
      </c>
      <c r="G112" s="5" t="s">
        <v>56</v>
      </c>
      <c r="H112" s="16">
        <f t="shared" si="13"/>
        <v>0</v>
      </c>
      <c r="J112" s="16">
        <f>IF(H$6&gt;=L$115,1,0)</f>
        <v>0</v>
      </c>
      <c r="K112" s="16">
        <f t="shared" si="14"/>
        <v>0</v>
      </c>
      <c r="L112" s="48">
        <v>0.8</v>
      </c>
      <c r="M112" s="48">
        <v>1.6</v>
      </c>
    </row>
    <row r="113" spans="2:14" x14ac:dyDescent="0.2">
      <c r="B113" s="9">
        <f>F26</f>
        <v>131.99</v>
      </c>
      <c r="C113" s="40">
        <f t="shared" si="12"/>
        <v>0.92536894871525233</v>
      </c>
      <c r="D113" s="39">
        <f>IF(H26=0,"n/a",H26)</f>
        <v>7.3869999999999996</v>
      </c>
      <c r="F113" s="81" t="s">
        <v>48</v>
      </c>
      <c r="G113" s="81"/>
      <c r="H113" s="81"/>
      <c r="I113" s="81"/>
      <c r="J113" s="81"/>
      <c r="K113" s="81"/>
      <c r="L113" s="82">
        <f>SUMPRODUCT(K105:K112,L105:L112)</f>
        <v>1.1000000000000001</v>
      </c>
      <c r="M113" s="82">
        <f>SUMPRODUCT(K105:K112,M105:M112)</f>
        <v>2.2000000000000002</v>
      </c>
      <c r="N113" s="81"/>
    </row>
    <row r="114" spans="2:14" x14ac:dyDescent="0.2">
      <c r="B114" s="9">
        <f>F25</f>
        <v>134.19</v>
      </c>
      <c r="C114" s="40">
        <f t="shared" si="12"/>
        <v>0.94079293301083189</v>
      </c>
      <c r="D114" s="39">
        <f>IF(H25=0,"n/a",H25)</f>
        <v>8.2330000000000005</v>
      </c>
    </row>
    <row r="115" spans="2:14" x14ac:dyDescent="0.2">
      <c r="B115" s="9">
        <f>F24</f>
        <v>136.38999999999999</v>
      </c>
      <c r="C115" s="40">
        <f t="shared" si="12"/>
        <v>0.95621691730641145</v>
      </c>
      <c r="D115" s="39">
        <f>IF(H24=0,"n/a",H24)</f>
        <v>9.1440000000000001</v>
      </c>
      <c r="F115" s="5" t="s">
        <v>45</v>
      </c>
      <c r="L115" s="49">
        <v>600</v>
      </c>
    </row>
    <row r="116" spans="2:14" x14ac:dyDescent="0.2">
      <c r="B116" s="9">
        <f>F23</f>
        <v>138.59</v>
      </c>
      <c r="C116" s="40">
        <f t="shared" si="12"/>
        <v>0.97164090160199124</v>
      </c>
      <c r="D116" s="39">
        <f>IF(H23=0,"n/a",H23)</f>
        <v>10.148999999999999</v>
      </c>
      <c r="F116" s="5" t="s">
        <v>46</v>
      </c>
      <c r="L116" s="49">
        <v>900</v>
      </c>
    </row>
    <row r="117" spans="2:14" ht="13.5" thickBot="1" x14ac:dyDescent="0.25">
      <c r="B117" s="14">
        <f>F22</f>
        <v>140.79</v>
      </c>
      <c r="C117" s="41">
        <f t="shared" si="12"/>
        <v>0.98706488589757069</v>
      </c>
      <c r="D117" s="42">
        <f>IF(H22=0,"n/a",H22)</f>
        <v>11.226000000000001</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Y+VaFmSJdL7ZDN4qCzskeDd91mk3IRDjEUVAm3RCnDNs0qIkrfU8TRe8Fi5EAgwbL0Iuv7rnLLACl6fF/kMM9A==" saltValue="vs1Ey6FclfgcvH0FQNd/TQ==" spinCount="100000" sheet="1" objects="1" scenarios="1"/>
  <mergeCells count="19">
    <mergeCell ref="B37:F37"/>
    <mergeCell ref="B38:D38"/>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 ref="B12:G12"/>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0" r:id="rId1"/>
    <hyperlink ref="B37" r:id="rId2"/>
    <hyperlink ref="B38" r:id="rId3"/>
    <hyperlink ref="B42"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workbookViewId="0">
      <selection activeCell="Q16" sqref="Q16"/>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58" t="s">
        <v>87</v>
      </c>
      <c r="C2" s="158"/>
      <c r="D2" s="158"/>
      <c r="E2" s="158"/>
      <c r="F2" s="158"/>
      <c r="G2" s="158"/>
      <c r="H2" s="158"/>
      <c r="I2" s="158"/>
      <c r="J2" s="158"/>
      <c r="K2" s="158"/>
      <c r="L2" s="158"/>
      <c r="M2" s="158"/>
    </row>
    <row r="3" spans="2:13" ht="15.75" x14ac:dyDescent="0.25">
      <c r="B3" s="160" t="s">
        <v>83</v>
      </c>
      <c r="C3" s="161"/>
      <c r="D3" s="161"/>
      <c r="E3" s="161"/>
      <c r="F3" s="161"/>
      <c r="G3" s="161"/>
      <c r="H3" s="161"/>
      <c r="I3" s="161"/>
      <c r="J3" s="161"/>
      <c r="K3" s="161"/>
      <c r="L3" s="161"/>
      <c r="M3" s="16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3" x14ac:dyDescent="0.2">
      <c r="B33" s="2"/>
      <c r="C33" s="3"/>
      <c r="D33" s="3"/>
      <c r="E33" s="3"/>
      <c r="F33" s="3"/>
      <c r="G33" s="3"/>
      <c r="H33" s="3"/>
      <c r="I33" s="3"/>
      <c r="J33" s="4"/>
    </row>
    <row r="34" spans="2:13" x14ac:dyDescent="0.2">
      <c r="B34" s="2"/>
      <c r="C34" s="3"/>
      <c r="D34" s="3"/>
      <c r="E34" s="3"/>
      <c r="F34" s="3"/>
      <c r="G34" s="3"/>
      <c r="H34" s="3"/>
      <c r="I34" s="3"/>
      <c r="J34" s="4"/>
    </row>
    <row r="35" spans="2:13" x14ac:dyDescent="0.2">
      <c r="B35" s="2"/>
      <c r="C35" s="3"/>
      <c r="D35" s="3"/>
      <c r="E35" s="3"/>
      <c r="F35" s="3"/>
      <c r="G35" s="3"/>
      <c r="H35" s="3"/>
      <c r="I35" s="3"/>
      <c r="J35" s="4"/>
    </row>
    <row r="36" spans="2:13" x14ac:dyDescent="0.2">
      <c r="B36" s="2"/>
      <c r="C36" s="3"/>
      <c r="D36" s="3"/>
      <c r="E36" s="3"/>
      <c r="F36" s="3"/>
      <c r="G36" s="3"/>
      <c r="H36" s="3"/>
      <c r="I36" s="3"/>
      <c r="J36" s="4"/>
    </row>
    <row r="37" spans="2:13" x14ac:dyDescent="0.2">
      <c r="B37" s="2"/>
      <c r="C37" s="3"/>
      <c r="D37" s="3"/>
      <c r="E37" s="3"/>
      <c r="F37" s="3"/>
      <c r="G37" s="3"/>
      <c r="H37" s="3"/>
      <c r="I37" s="3"/>
      <c r="J37" s="4"/>
    </row>
    <row r="38" spans="2:13" x14ac:dyDescent="0.2">
      <c r="B38" s="2"/>
      <c r="C38" s="3"/>
      <c r="D38" s="3"/>
      <c r="E38" s="3"/>
      <c r="F38" s="3"/>
      <c r="G38" s="3"/>
      <c r="H38" s="3"/>
      <c r="I38" s="3"/>
      <c r="J38" s="4"/>
    </row>
    <row r="39" spans="2:13" x14ac:dyDescent="0.2">
      <c r="B39" s="2"/>
      <c r="C39" s="3"/>
      <c r="D39" s="3"/>
      <c r="E39" s="3"/>
      <c r="F39" s="3"/>
      <c r="G39" s="3"/>
      <c r="H39" s="3"/>
      <c r="I39" s="3"/>
      <c r="J39" s="4"/>
    </row>
    <row r="40" spans="2:13" x14ac:dyDescent="0.2">
      <c r="B40" s="2"/>
      <c r="C40" s="3"/>
      <c r="D40" s="3"/>
      <c r="E40" s="3"/>
      <c r="F40" s="3"/>
      <c r="G40" s="3"/>
      <c r="H40" s="3"/>
      <c r="I40" s="3"/>
      <c r="J40" s="4"/>
    </row>
    <row r="41" spans="2:13" x14ac:dyDescent="0.2">
      <c r="B41" s="2"/>
      <c r="C41" s="3"/>
      <c r="D41" s="3"/>
      <c r="E41" s="3"/>
      <c r="F41" s="3"/>
      <c r="G41" s="3"/>
      <c r="H41" s="3"/>
      <c r="I41" s="3"/>
      <c r="J41" s="4"/>
    </row>
    <row r="42" spans="2:13" x14ac:dyDescent="0.2">
      <c r="B42" s="2"/>
      <c r="C42" s="3"/>
      <c r="D42" s="3"/>
      <c r="E42" s="3"/>
      <c r="F42" s="3"/>
      <c r="G42" s="3"/>
      <c r="H42" s="3"/>
      <c r="I42" s="3"/>
      <c r="J42" s="4"/>
    </row>
    <row r="43" spans="2:13" x14ac:dyDescent="0.2">
      <c r="B43" s="2"/>
      <c r="C43" s="3"/>
      <c r="D43" s="3"/>
      <c r="E43" s="3"/>
      <c r="F43" s="3"/>
      <c r="G43" s="3"/>
      <c r="H43" s="3"/>
      <c r="I43" s="3"/>
      <c r="J43" s="4"/>
    </row>
    <row r="44" spans="2:13" x14ac:dyDescent="0.2">
      <c r="B44" s="2"/>
      <c r="C44" s="3"/>
      <c r="D44" s="3"/>
      <c r="E44" s="3"/>
      <c r="F44" s="3"/>
      <c r="G44" s="3"/>
      <c r="H44" s="3"/>
      <c r="I44" s="3"/>
      <c r="J44" s="4"/>
    </row>
    <row r="45" spans="2:13" x14ac:dyDescent="0.2">
      <c r="B45" s="2"/>
      <c r="C45" s="3"/>
      <c r="D45" s="3"/>
      <c r="E45" s="3"/>
      <c r="F45" s="3"/>
      <c r="G45" s="3"/>
      <c r="H45" s="3"/>
      <c r="I45" s="3"/>
      <c r="J45" s="4"/>
    </row>
    <row r="46" spans="2:13" x14ac:dyDescent="0.2">
      <c r="B46" s="2"/>
      <c r="C46" s="3"/>
      <c r="D46" s="3"/>
      <c r="E46" s="3"/>
      <c r="F46" s="3"/>
      <c r="G46" s="3"/>
      <c r="H46" s="3"/>
      <c r="I46" s="3"/>
      <c r="J46" s="4"/>
    </row>
    <row r="48" spans="2:13" ht="15" x14ac:dyDescent="0.25">
      <c r="B48" s="157" t="s">
        <v>88</v>
      </c>
      <c r="C48" s="157"/>
      <c r="D48" s="157"/>
      <c r="E48" s="157"/>
      <c r="F48" s="157"/>
      <c r="G48" s="157"/>
      <c r="H48" s="157"/>
      <c r="I48" s="157"/>
      <c r="J48" s="157"/>
      <c r="K48" s="157"/>
      <c r="L48" s="157"/>
      <c r="M48" s="157"/>
    </row>
    <row r="49" spans="2:13" ht="14.25" x14ac:dyDescent="0.2">
      <c r="B49" s="159" t="s">
        <v>80</v>
      </c>
      <c r="C49" s="159"/>
      <c r="D49" s="159"/>
      <c r="E49" s="159"/>
      <c r="F49" s="159"/>
      <c r="G49" s="159"/>
      <c r="H49" s="159"/>
      <c r="I49" s="159"/>
      <c r="J49" s="159"/>
      <c r="K49" s="159"/>
      <c r="L49" s="159"/>
      <c r="M49" s="159"/>
    </row>
  </sheetData>
  <sheetProtection algorithmName="SHA-512" hashValue="U1mzj3NreAPt6OypyTd13RwR4zUDwnIFd+6xlAWOACiu6hexyMiEKTiHiTg2iE7ssU6l4S/u3JolrHlglGoUbA==" saltValue="W1Gr9WBcBvK8fhgHzBz5uQ==" spinCount="100000" sheet="1" objects="1" scenarios="1"/>
  <mergeCells count="4">
    <mergeCell ref="B48:M48"/>
    <mergeCell ref="B2:M2"/>
    <mergeCell ref="B49:M49"/>
    <mergeCell ref="B3:M3"/>
  </mergeCells>
  <phoneticPr fontId="5" type="noConversion"/>
  <hyperlinks>
    <hyperlink ref="B49"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1"/>
  <sheetViews>
    <sheetView workbookViewId="0">
      <selection activeCell="Q8" sqref="Q8"/>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62" t="s">
        <v>86</v>
      </c>
      <c r="I2" s="162"/>
      <c r="J2" s="162"/>
      <c r="K2" s="162"/>
      <c r="L2" s="162"/>
      <c r="M2" s="162"/>
      <c r="N2" s="162"/>
      <c r="O2" s="162"/>
    </row>
    <row r="41" spans="2:15" x14ac:dyDescent="0.2">
      <c r="B41" s="45" t="s">
        <v>13</v>
      </c>
      <c r="C41" s="43"/>
      <c r="D41" s="43"/>
      <c r="E41" s="43"/>
      <c r="F41" s="43"/>
      <c r="G41" s="43"/>
      <c r="H41" s="43"/>
      <c r="I41" s="163" t="s">
        <v>86</v>
      </c>
      <c r="J41" s="164"/>
      <c r="K41" s="164"/>
      <c r="L41" s="164"/>
      <c r="M41" s="164"/>
      <c r="N41" s="164"/>
      <c r="O41" s="164"/>
    </row>
  </sheetData>
  <sheetProtection algorithmName="SHA-512" hashValue="UemuZe5lSWc9qpASuFhcCtta0zcepL4oSsmPEHvROx/I+rSTjy70HfEK22ywaB3SQqYZwjeZK1pk79JY5Jgl9w==" saltValue="mmUu4vKT2UaR4DoBvttTCg==" spinCount="100000" sheet="1" objects="1" scenarios="1"/>
  <mergeCells count="2">
    <mergeCell ref="H2:O2"/>
    <mergeCell ref="I41:O41"/>
  </mergeCells>
  <phoneticPr fontId="5" type="noConversion"/>
  <hyperlinks>
    <hyperlink ref="I41"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2020-02-18T22:01:26Z</cp:lastPrinted>
  <dcterms:created xsi:type="dcterms:W3CDTF">2007-06-11T19:03:56Z</dcterms:created>
  <dcterms:modified xsi:type="dcterms:W3CDTF">2020-04-28T15:04:12Z</dcterms:modified>
</cp:coreProperties>
</file>