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5865" windowHeight="3525" tabRatio="847" activeTab="0"/>
  </bookViews>
  <sheets>
    <sheet name="Machinery costs" sheetId="1" r:id="rId1"/>
    <sheet name="Crop budgets" sheetId="2" r:id="rId2"/>
    <sheet name="Loan payment" sheetId="3" r:id="rId3"/>
    <sheet name="205-day weight" sheetId="4" r:id="rId4"/>
    <sheet name="Date formulas" sheetId="5" r:id="rId5"/>
    <sheet name="Cattle feeding budget" sheetId="6" r:id="rId6"/>
  </sheets>
  <definedNames>
    <definedName name="dam_adj">'205-day weight'!$N$7:$P$20</definedName>
  </definedNames>
  <calcPr fullCalcOnLoad="1"/>
</workbook>
</file>

<file path=xl/comments1.xml><?xml version="1.0" encoding="utf-8"?>
<comments xmlns="http://schemas.openxmlformats.org/spreadsheetml/2006/main">
  <authors>
    <author>Kevin Dhuyvetter</author>
  </authors>
  <commentList>
    <comment ref="H4" authorId="0">
      <text>
        <r>
          <rPr>
            <b/>
            <sz val="10"/>
            <rFont val="Tahoma"/>
            <family val="2"/>
          </rPr>
          <t>Cells with "shading" are inputs (i.e., blue numbers).</t>
        </r>
      </text>
    </comment>
  </commentList>
</comments>
</file>

<file path=xl/sharedStrings.xml><?xml version="1.0" encoding="utf-8"?>
<sst xmlns="http://schemas.openxmlformats.org/spreadsheetml/2006/main" count="257" uniqueCount="209">
  <si>
    <t>Wheat</t>
  </si>
  <si>
    <t>Soybeans</t>
  </si>
  <si>
    <t>Quantity</t>
  </si>
  <si>
    <t>Value</t>
  </si>
  <si>
    <t>Value/unit</t>
  </si>
  <si>
    <t>Total value</t>
  </si>
  <si>
    <t>Total</t>
  </si>
  <si>
    <t>Beginning Inventory</t>
  </si>
  <si>
    <t>Sales</t>
  </si>
  <si>
    <t>Ending Inventory</t>
  </si>
  <si>
    <t>%</t>
  </si>
  <si>
    <t>Milo</t>
  </si>
  <si>
    <t>Seed</t>
  </si>
  <si>
    <t>Fertilizer</t>
  </si>
  <si>
    <t>Herbicide</t>
  </si>
  <si>
    <t>Fuel and oil</t>
  </si>
  <si>
    <t>Repairs</t>
  </si>
  <si>
    <t>Labor</t>
  </si>
  <si>
    <t>Yield</t>
  </si>
  <si>
    <t>Price</t>
  </si>
  <si>
    <t>Gov't payment</t>
  </si>
  <si>
    <t>Breakeven yield</t>
  </si>
  <si>
    <t>Breakeven price</t>
  </si>
  <si>
    <t>Returns from various crop enterprises on crop share rented acres</t>
  </si>
  <si>
    <t>Share</t>
  </si>
  <si>
    <t>Total cost</t>
  </si>
  <si>
    <t>Total income</t>
  </si>
  <si>
    <t>Calf ID</t>
  </si>
  <si>
    <t xml:space="preserve">Age at </t>
  </si>
  <si>
    <t>weaning</t>
  </si>
  <si>
    <t>Weaning date</t>
  </si>
  <si>
    <t>Birth</t>
  </si>
  <si>
    <t>weight</t>
  </si>
  <si>
    <t>Date of</t>
  </si>
  <si>
    <t>birth</t>
  </si>
  <si>
    <t>Weaning</t>
  </si>
  <si>
    <t>Sex</t>
  </si>
  <si>
    <t>Age of</t>
  </si>
  <si>
    <t>dam</t>
  </si>
  <si>
    <t>Female</t>
  </si>
  <si>
    <t>Male</t>
  </si>
  <si>
    <t>M=1, F=0</t>
  </si>
  <si>
    <t>ADG</t>
  </si>
  <si>
    <t>day wt.</t>
  </si>
  <si>
    <t>Dam adj.</t>
  </si>
  <si>
    <t>Adj. WW</t>
  </si>
  <si>
    <t>Average</t>
  </si>
  <si>
    <t>Minimum</t>
  </si>
  <si>
    <t>Maximum</t>
  </si>
  <si>
    <t>Range</t>
  </si>
  <si>
    <t>Principal</t>
  </si>
  <si>
    <t>Years</t>
  </si>
  <si>
    <t>Interest rate</t>
  </si>
  <si>
    <t>Loan payment</t>
  </si>
  <si>
    <t xml:space="preserve"> Milo</t>
  </si>
  <si>
    <t xml:space="preserve"> Wheat</t>
  </si>
  <si>
    <t xml:space="preserve"> Steer calves</t>
  </si>
  <si>
    <t>Income from any one enterprise must be at least 20% of total, but no more than 50%</t>
  </si>
  <si>
    <t>Net return to producer</t>
  </si>
  <si>
    <t>Steer calves</t>
  </si>
  <si>
    <t>Weight</t>
  </si>
  <si>
    <t>$/cwt</t>
  </si>
  <si>
    <t>$/head</t>
  </si>
  <si>
    <t>Determining principal and interest payment and sales needed to cover loan payment</t>
  </si>
  <si>
    <t>Calculating the value per head of the steer calves</t>
  </si>
  <si>
    <t>Miscellaneous</t>
  </si>
  <si>
    <t>Total returns over total costs</t>
  </si>
  <si>
    <t>Sales of wheat and milo must be in 500 bushel increments</t>
  </si>
  <si>
    <t>Lime</t>
  </si>
  <si>
    <t>Chisel</t>
  </si>
  <si>
    <t>Disk</t>
  </si>
  <si>
    <t>Field cultivate</t>
  </si>
  <si>
    <t>Harvest</t>
  </si>
  <si>
    <t>$/acre</t>
  </si>
  <si>
    <t>operations</t>
  </si>
  <si>
    <t>Plant/drill</t>
  </si>
  <si>
    <t>NH3 app.</t>
  </si>
  <si>
    <t>Fertilizer app.</t>
  </si>
  <si>
    <t>Herbicide app.</t>
  </si>
  <si>
    <t>Insecticide/fungicide app.</t>
  </si>
  <si>
    <t>Operation</t>
  </si>
  <si>
    <t>Estimate of Per Acre and Farm Total Machinery Costs</t>
  </si>
  <si>
    <t>Depreciation</t>
  </si>
  <si>
    <t>Interest</t>
  </si>
  <si>
    <t>Insurance and shelter</t>
  </si>
  <si>
    <t>Breakdown of machinery costs by category</t>
  </si>
  <si>
    <t>Machinery Costs by Category</t>
  </si>
  <si>
    <t>Farm Total</t>
  </si>
  <si>
    <t>Crop acreage breakdown</t>
  </si>
  <si>
    <t>Farm</t>
  </si>
  <si>
    <t>enterprise</t>
  </si>
  <si>
    <t>Insecticide/fungicide</t>
  </si>
  <si>
    <t>Crop insurance</t>
  </si>
  <si>
    <t>Crop consulting</t>
  </si>
  <si>
    <t>Machinery costs</t>
  </si>
  <si>
    <t>Non-machinery labor</t>
  </si>
  <si>
    <t>Index</t>
  </si>
  <si>
    <t>Average for male calves</t>
  </si>
  <si>
    <t>Average for female calves</t>
  </si>
  <si>
    <t>Calculating 205-day adjusted weaning weight of beef calves</t>
  </si>
  <si>
    <t>205-day</t>
  </si>
  <si>
    <t>Acres</t>
  </si>
  <si>
    <t xml:space="preserve">n/a  </t>
  </si>
  <si>
    <t>Total*</t>
  </si>
  <si>
    <t>* Total for operator's share only</t>
  </si>
  <si>
    <t>Difference between sales and payment</t>
  </si>
  <si>
    <t>Cattle Feeding Budget</t>
  </si>
  <si>
    <t>Beginning weight, lbs/head</t>
  </si>
  <si>
    <t>Average daily gain, lbs</t>
  </si>
  <si>
    <t>Ending weight, lbs/head</t>
  </si>
  <si>
    <t>Purchase price, $/cwt</t>
  </si>
  <si>
    <t>Projected selling price, $/cwt</t>
  </si>
  <si>
    <t>Feed</t>
  </si>
  <si>
    <t>Brome hay</t>
  </si>
  <si>
    <t>Rolled corn</t>
  </si>
  <si>
    <t>Soybean meal</t>
  </si>
  <si>
    <t>Mineral</t>
  </si>
  <si>
    <t>Other</t>
  </si>
  <si>
    <t>Feed ingredient</t>
  </si>
  <si>
    <t>Lbs/unit</t>
  </si>
  <si>
    <t>Cost</t>
  </si>
  <si>
    <t>($/unit)</t>
  </si>
  <si>
    <t>Number of head sold</t>
  </si>
  <si>
    <t>Costs</t>
  </si>
  <si>
    <t>Feed Information</t>
  </si>
  <si>
    <t>Marketing/hauling</t>
  </si>
  <si>
    <t>Utilities</t>
  </si>
  <si>
    <t>Level</t>
  </si>
  <si>
    <t>$/pen</t>
  </si>
  <si>
    <t>Pounds of feed fed (as fed) per…</t>
  </si>
  <si>
    <t>hd/day</t>
  </si>
  <si>
    <t>pen/day</t>
  </si>
  <si>
    <t>hd/period</t>
  </si>
  <si>
    <t>pen/period</t>
  </si>
  <si>
    <t>Number of head purchased (pen)</t>
  </si>
  <si>
    <t>Feeding days (period)</t>
  </si>
  <si>
    <t>Dep &amp; int on equpiment</t>
  </si>
  <si>
    <t>Dep &amp; int on facilities</t>
  </si>
  <si>
    <t>Processing/vet</t>
  </si>
  <si>
    <t>Cattle information</t>
  </si>
  <si>
    <t>Cost/lb</t>
  </si>
  <si>
    <t>Value of gain, $/cwt</t>
  </si>
  <si>
    <t>Value of gain, $/head</t>
  </si>
  <si>
    <t>Gain (including death loss), lbs/head</t>
  </si>
  <si>
    <t>NA</t>
  </si>
  <si>
    <t>of cost*</t>
  </si>
  <si>
    <t>1 = $/head/day</t>
  </si>
  <si>
    <t>2 = $/head/period</t>
  </si>
  <si>
    <t>3= $/pen/day</t>
  </si>
  <si>
    <t>4=$/pen/period</t>
  </si>
  <si>
    <t>* Cost levels</t>
  </si>
  <si>
    <t>Projected Budget</t>
  </si>
  <si>
    <t>Market animal (sales)</t>
  </si>
  <si>
    <t>Less cost of animal (purchase)</t>
  </si>
  <si>
    <t>N/A</t>
  </si>
  <si>
    <t>% applies to</t>
  </si>
  <si>
    <t>Death loss (DL), %</t>
  </si>
  <si>
    <t>DL calves</t>
  </si>
  <si>
    <t>Total units</t>
  </si>
  <si>
    <t>required</t>
  </si>
  <si>
    <t>Cost Information</t>
  </si>
  <si>
    <t>Gross return</t>
  </si>
  <si>
    <t>Income</t>
  </si>
  <si>
    <t>Net return</t>
  </si>
  <si>
    <t>Breakeven selling price, $/cwt</t>
  </si>
  <si>
    <t>Cost of gain, $/cwt (excludes interest)</t>
  </si>
  <si>
    <t>Birthdate</t>
  </si>
  <si>
    <t>Today's date</t>
  </si>
  <si>
    <t>Age in years</t>
  </si>
  <si>
    <t>Birth day</t>
  </si>
  <si>
    <t>Birth month</t>
  </si>
  <si>
    <t>Birth year</t>
  </si>
  <si>
    <t>Working with date formulas</t>
  </si>
  <si>
    <t>Weekday</t>
  </si>
  <si>
    <t>Sunday</t>
  </si>
  <si>
    <t>Monday</t>
  </si>
  <si>
    <t>Tuesday</t>
  </si>
  <si>
    <t>Wednesday</t>
  </si>
  <si>
    <t>Thursday</t>
  </si>
  <si>
    <t>Friday</t>
  </si>
  <si>
    <t>Weekday lookup table</t>
  </si>
  <si>
    <t>Saturday</t>
  </si>
  <si>
    <t xml:space="preserve">  Years</t>
  </si>
  <si>
    <t xml:space="preserve">  Months</t>
  </si>
  <si>
    <t xml:space="preserve">  Days</t>
  </si>
  <si>
    <t>Day of week of birth</t>
  </si>
  <si>
    <t>Day of week</t>
  </si>
  <si>
    <t>Hint for formula</t>
  </si>
  <si>
    <t>Days since birth</t>
  </si>
  <si>
    <t xml:space="preserve">No function; subtract today's date from birthdate. </t>
  </si>
  <si>
    <r>
      <t xml:space="preserve">Use </t>
    </r>
    <r>
      <rPr>
        <b/>
        <sz val="11"/>
        <rFont val="Calibri"/>
        <family val="2"/>
      </rPr>
      <t>DATE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</si>
  <si>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>NOW</t>
    </r>
    <r>
      <rPr>
        <sz val="11"/>
        <rFont val="Calibri"/>
        <family val="2"/>
      </rPr>
      <t xml:space="preserve"> or </t>
    </r>
    <r>
      <rPr>
        <b/>
        <sz val="11"/>
        <rFont val="Calibri"/>
        <family val="2"/>
      </rPr>
      <t>TODAY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</si>
  <si>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>VLOOKUP</t>
    </r>
    <r>
      <rPr>
        <sz val="11"/>
        <rFont val="Calibri"/>
        <family val="2"/>
      </rPr>
      <t xml:space="preserve"> table &amp; </t>
    </r>
    <r>
      <rPr>
        <b/>
        <sz val="11"/>
        <rFont val="Calibri"/>
        <family val="2"/>
      </rPr>
      <t>WEEKDAY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</si>
  <si>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 xml:space="preserve">YEARFRAC </t>
    </r>
    <r>
      <rPr>
        <sz val="11"/>
        <rFont val="Calibri"/>
        <family val="2"/>
      </rPr>
      <t>function</t>
    </r>
  </si>
  <si>
    <r>
      <t xml:space="preserve">Use </t>
    </r>
    <r>
      <rPr>
        <b/>
        <sz val="11"/>
        <rFont val="Calibri"/>
        <family val="2"/>
      </rPr>
      <t>INT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</si>
  <si>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>ROUND</t>
    </r>
    <r>
      <rPr>
        <sz val="11"/>
        <rFont val="Calibri"/>
        <family val="2"/>
      </rPr>
      <t xml:space="preserve"> function</t>
    </r>
  </si>
  <si>
    <t>Breakeven purchase price, $/cwt</t>
  </si>
  <si>
    <t>Interest on feeder and 1/2 op costs**</t>
  </si>
  <si>
    <t>** Op costs = feed, labor, processing/vet, fuel and oil, utilities, repairs, miscellaneous, and other</t>
  </si>
  <si>
    <t>16-1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</si>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</sst>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"/>
    <numFmt numFmtId="171" formatCode="#,##0.0"/>
    <numFmt numFmtId="172" formatCode="hh:mm\ AM/PM"/>
    <numFmt numFmtId="173" formatCode="mm/dd/yy"/>
    <numFmt numFmtId="174" formatCode=";;;"/>
    <numFmt numFmtId="175" formatCode="0.00000"/>
    <numFmt numFmtId="176" formatCode="0.0000"/>
    <numFmt numFmtId="177" formatCode="0.000"/>
    <numFmt numFmtId="178" formatCode="&quot;$&quot;#,##0"/>
    <numFmt numFmtId="179" formatCode="[$-409]dddd\,\ mmmm\ dd\,\ yyyy"/>
    <numFmt numFmtId="180" formatCode="mm/dd/yy;@"/>
    <numFmt numFmtId="181" formatCode="&quot;$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);[Red]\(#,##0.0\)"/>
    <numFmt numFmtId="187" formatCode="&quot;$&quot;#,##0.0_);\(&quot;$&quot;#,##0.0\)"/>
    <numFmt numFmtId="188" formatCode="m/d/yy;@"/>
    <numFmt numFmtId="189" formatCode="m/d/yy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b/>
      <sz val="11"/>
      <color indexed="12"/>
      <name val="Calibri"/>
      <family val="2"/>
    </font>
    <font>
      <b/>
      <u val="single"/>
      <sz val="12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DDDD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169" fontId="3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8" fontId="4" fillId="33" borderId="11" xfId="42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69" fontId="3" fillId="0" borderId="11" xfId="59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0" fontId="4" fillId="33" borderId="0" xfId="42" applyNumberFormat="1" applyFont="1" applyFill="1" applyBorder="1" applyAlignment="1">
      <alignment/>
    </xf>
    <xf numFmtId="166" fontId="3" fillId="0" borderId="0" xfId="59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8" fontId="4" fillId="33" borderId="16" xfId="42" applyNumberFormat="1" applyFont="1" applyFill="1" applyBorder="1" applyAlignment="1">
      <alignment/>
    </xf>
    <xf numFmtId="169" fontId="3" fillId="0" borderId="16" xfId="59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169" fontId="3" fillId="0" borderId="0" xfId="59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169" fontId="5" fillId="0" borderId="0" xfId="59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168" fontId="4" fillId="33" borderId="0" xfId="42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9" fontId="3" fillId="0" borderId="0" xfId="59" applyNumberFormat="1" applyFont="1" applyBorder="1" applyAlignment="1">
      <alignment/>
    </xf>
    <xf numFmtId="168" fontId="3" fillId="0" borderId="0" xfId="42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8" fontId="4" fillId="0" borderId="0" xfId="42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33" borderId="0" xfId="0" applyNumberFormat="1" applyFont="1" applyFill="1" applyBorder="1" applyAlignment="1">
      <alignment/>
    </xf>
    <xf numFmtId="166" fontId="3" fillId="0" borderId="0" xfId="44" applyNumberFormat="1" applyFont="1" applyBorder="1" applyAlignment="1">
      <alignment/>
    </xf>
    <xf numFmtId="9" fontId="3" fillId="0" borderId="0" xfId="59" applyNumberFormat="1" applyFont="1" applyBorder="1" applyAlignment="1">
      <alignment/>
    </xf>
    <xf numFmtId="166" fontId="3" fillId="0" borderId="14" xfId="44" applyNumberFormat="1" applyFont="1" applyBorder="1" applyAlignment="1">
      <alignment/>
    </xf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right"/>
    </xf>
    <xf numFmtId="169" fontId="4" fillId="33" borderId="0" xfId="0" applyNumberFormat="1" applyFont="1" applyFill="1" applyAlignment="1">
      <alignment/>
    </xf>
    <xf numFmtId="166" fontId="4" fillId="33" borderId="0" xfId="0" applyNumberFormat="1" applyFont="1" applyFill="1" applyAlignment="1">
      <alignment/>
    </xf>
    <xf numFmtId="169" fontId="3" fillId="0" borderId="0" xfId="0" applyNumberFormat="1" applyFont="1" applyAlignment="1">
      <alignment/>
    </xf>
    <xf numFmtId="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2" fontId="4" fillId="33" borderId="0" xfId="0" applyNumberFormat="1" applyFont="1" applyFill="1" applyAlignment="1">
      <alignment/>
    </xf>
    <xf numFmtId="7" fontId="3" fillId="0" borderId="0" xfId="44" applyNumberFormat="1" applyFont="1" applyAlignment="1">
      <alignment/>
    </xf>
    <xf numFmtId="0" fontId="6" fillId="0" borderId="0" xfId="0" applyFont="1" applyAlignment="1">
      <alignment horizontal="right" wrapText="1"/>
    </xf>
    <xf numFmtId="0" fontId="4" fillId="33" borderId="0" xfId="0" applyFont="1" applyFill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80" fontId="4" fillId="33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4" fillId="33" borderId="0" xfId="0" applyNumberFormat="1" applyFont="1" applyFill="1" applyAlignment="1" quotePrefix="1">
      <alignment horizontal="center"/>
    </xf>
    <xf numFmtId="180" fontId="4" fillId="3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/>
    </xf>
    <xf numFmtId="16" fontId="4" fillId="33" borderId="0" xfId="0" applyNumberFormat="1" applyFont="1" applyFill="1" applyAlignment="1" quotePrefix="1">
      <alignment horizontal="center"/>
    </xf>
    <xf numFmtId="16" fontId="4" fillId="33" borderId="16" xfId="0" applyNumberFormat="1" applyFont="1" applyFill="1" applyBorder="1" applyAlignment="1" quotePrefix="1">
      <alignment horizontal="center"/>
    </xf>
    <xf numFmtId="180" fontId="4" fillId="33" borderId="16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66" fontId="4" fillId="33" borderId="0" xfId="0" applyNumberFormat="1" applyFont="1" applyFill="1" applyAlignment="1">
      <alignment horizontal="right" indent="1"/>
    </xf>
    <xf numFmtId="0" fontId="3" fillId="0" borderId="0" xfId="0" applyNumberFormat="1" applyFont="1" applyAlignment="1">
      <alignment horizontal="right" indent="1"/>
    </xf>
    <xf numFmtId="170" fontId="4" fillId="33" borderId="0" xfId="0" applyNumberFormat="1" applyFont="1" applyFill="1" applyAlignment="1">
      <alignment horizontal="right" indent="1"/>
    </xf>
    <xf numFmtId="0" fontId="3" fillId="0" borderId="16" xfId="0" applyFont="1" applyBorder="1" applyAlignment="1">
      <alignment horizontal="left"/>
    </xf>
    <xf numFmtId="38" fontId="3" fillId="0" borderId="0" xfId="0" applyNumberFormat="1" applyFont="1" applyAlignment="1">
      <alignment horizontal="right" wrapText="1" indent="1"/>
    </xf>
    <xf numFmtId="38" fontId="4" fillId="0" borderId="0" xfId="0" applyNumberFormat="1" applyFont="1" applyAlignment="1">
      <alignment horizontal="right" wrapText="1"/>
    </xf>
    <xf numFmtId="3" fontId="3" fillId="0" borderId="0" xfId="44" applyNumberFormat="1" applyFont="1" applyAlignment="1">
      <alignment horizontal="right" indent="1"/>
    </xf>
    <xf numFmtId="178" fontId="3" fillId="0" borderId="0" xfId="44" applyNumberFormat="1" applyFont="1" applyAlignment="1">
      <alignment horizontal="right" indent="1"/>
    </xf>
    <xf numFmtId="0" fontId="3" fillId="0" borderId="18" xfId="0" applyFont="1" applyBorder="1" applyAlignment="1">
      <alignment/>
    </xf>
    <xf numFmtId="166" fontId="4" fillId="33" borderId="18" xfId="0" applyNumberFormat="1" applyFont="1" applyFill="1" applyBorder="1" applyAlignment="1">
      <alignment horizontal="right" indent="1"/>
    </xf>
    <xf numFmtId="170" fontId="4" fillId="33" borderId="18" xfId="0" applyNumberFormat="1" applyFont="1" applyFill="1" applyBorder="1" applyAlignment="1">
      <alignment horizontal="right" indent="1"/>
    </xf>
    <xf numFmtId="0" fontId="3" fillId="0" borderId="18" xfId="0" applyNumberFormat="1" applyFont="1" applyBorder="1" applyAlignment="1">
      <alignment horizontal="right" indent="1"/>
    </xf>
    <xf numFmtId="38" fontId="3" fillId="0" borderId="18" xfId="0" applyNumberFormat="1" applyFont="1" applyBorder="1" applyAlignment="1">
      <alignment horizontal="right" wrapText="1" indent="1"/>
    </xf>
    <xf numFmtId="169" fontId="4" fillId="33" borderId="0" xfId="59" applyNumberFormat="1" applyFont="1" applyFill="1" applyAlignment="1">
      <alignment horizontal="right" indent="1"/>
    </xf>
    <xf numFmtId="169" fontId="3" fillId="0" borderId="0" xfId="0" applyNumberFormat="1" applyFont="1" applyAlignment="1">
      <alignment horizontal="right" indent="1"/>
    </xf>
    <xf numFmtId="169" fontId="4" fillId="33" borderId="16" xfId="59" applyNumberFormat="1" applyFont="1" applyFill="1" applyBorder="1" applyAlignment="1">
      <alignment horizontal="right" indent="1"/>
    </xf>
    <xf numFmtId="166" fontId="3" fillId="0" borderId="0" xfId="0" applyNumberFormat="1" applyFont="1" applyAlignment="1">
      <alignment horizontal="right" indent="1"/>
    </xf>
    <xf numFmtId="6" fontId="3" fillId="0" borderId="0" xfId="0" applyNumberFormat="1" applyFont="1" applyAlignment="1">
      <alignment horizontal="right" wrapText="1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166" fontId="3" fillId="0" borderId="19" xfId="44" applyNumberFormat="1" applyFont="1" applyBorder="1" applyAlignment="1">
      <alignment horizontal="right" indent="1"/>
    </xf>
    <xf numFmtId="178" fontId="3" fillId="0" borderId="19" xfId="44" applyNumberFormat="1" applyFont="1" applyBorder="1" applyAlignment="1">
      <alignment horizontal="right" indent="1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right" indent="1"/>
    </xf>
    <xf numFmtId="6" fontId="3" fillId="0" borderId="0" xfId="0" applyNumberFormat="1" applyFont="1" applyBorder="1" applyAlignment="1">
      <alignment horizontal="right" indent="1"/>
    </xf>
    <xf numFmtId="0" fontId="3" fillId="0" borderId="19" xfId="0" applyFont="1" applyBorder="1" applyAlignment="1">
      <alignment horizontal="right" indent="1"/>
    </xf>
    <xf numFmtId="6" fontId="3" fillId="0" borderId="19" xfId="0" applyNumberFormat="1" applyFont="1" applyBorder="1" applyAlignment="1">
      <alignment horizontal="right" indent="1"/>
    </xf>
    <xf numFmtId="0" fontId="3" fillId="0" borderId="20" xfId="0" applyFont="1" applyBorder="1" applyAlignment="1">
      <alignment/>
    </xf>
    <xf numFmtId="166" fontId="3" fillId="0" borderId="20" xfId="44" applyNumberFormat="1" applyFont="1" applyBorder="1" applyAlignment="1">
      <alignment horizontal="right" indent="1"/>
    </xf>
    <xf numFmtId="170" fontId="3" fillId="0" borderId="20" xfId="44" applyNumberFormat="1" applyFont="1" applyBorder="1" applyAlignment="1">
      <alignment horizontal="right" indent="1"/>
    </xf>
    <xf numFmtId="0" fontId="3" fillId="0" borderId="20" xfId="44" applyNumberFormat="1" applyFont="1" applyBorder="1" applyAlignment="1">
      <alignment horizontal="right" indent="1"/>
    </xf>
    <xf numFmtId="0" fontId="3" fillId="0" borderId="20" xfId="0" applyNumberFormat="1" applyFont="1" applyBorder="1" applyAlignment="1">
      <alignment horizontal="right" indent="1"/>
    </xf>
    <xf numFmtId="3" fontId="3" fillId="0" borderId="20" xfId="44" applyNumberFormat="1" applyFont="1" applyBorder="1" applyAlignment="1">
      <alignment horizontal="right" indent="1"/>
    </xf>
    <xf numFmtId="1" fontId="4" fillId="33" borderId="0" xfId="0" applyNumberFormat="1" applyFont="1" applyFill="1" applyAlignment="1">
      <alignment horizontal="right" indent="1"/>
    </xf>
    <xf numFmtId="1" fontId="4" fillId="33" borderId="16" xfId="0" applyNumberFormat="1" applyFont="1" applyFill="1" applyBorder="1" applyAlignment="1">
      <alignment horizontal="right" indent="1"/>
    </xf>
    <xf numFmtId="2" fontId="3" fillId="34" borderId="0" xfId="0" applyNumberFormat="1" applyFont="1" applyFill="1" applyAlignment="1">
      <alignment/>
    </xf>
    <xf numFmtId="169" fontId="4" fillId="33" borderId="18" xfId="0" applyNumberFormat="1" applyFont="1" applyFill="1" applyBorder="1" applyAlignment="1">
      <alignment/>
    </xf>
    <xf numFmtId="2" fontId="4" fillId="33" borderId="18" xfId="0" applyNumberFormat="1" applyFont="1" applyFill="1" applyBorder="1" applyAlignment="1">
      <alignment/>
    </xf>
    <xf numFmtId="169" fontId="3" fillId="0" borderId="18" xfId="0" applyNumberFormat="1" applyFont="1" applyBorder="1" applyAlignment="1">
      <alignment/>
    </xf>
    <xf numFmtId="166" fontId="4" fillId="33" borderId="18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21" xfId="44" applyNumberFormat="1" applyFont="1" applyBorder="1" applyAlignment="1">
      <alignment/>
    </xf>
    <xf numFmtId="178" fontId="3" fillId="0" borderId="21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166" fontId="3" fillId="0" borderId="22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169" fontId="3" fillId="0" borderId="0" xfId="59" applyNumberFormat="1" applyFont="1" applyAlignment="1">
      <alignment vertical="center"/>
    </xf>
    <xf numFmtId="1" fontId="3" fillId="0" borderId="0" xfId="0" applyNumberFormat="1" applyFont="1" applyAlignment="1">
      <alignment horizontal="right" indent="1"/>
    </xf>
    <xf numFmtId="0" fontId="4" fillId="33" borderId="0" xfId="0" applyFont="1" applyFill="1" applyAlignment="1">
      <alignment horizontal="right" indent="1"/>
    </xf>
    <xf numFmtId="2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indent="1"/>
    </xf>
    <xf numFmtId="177" fontId="3" fillId="0" borderId="11" xfId="0" applyNumberFormat="1" applyFont="1" applyBorder="1" applyAlignment="1">
      <alignment horizontal="right" indent="1"/>
    </xf>
    <xf numFmtId="177" fontId="3" fillId="0" borderId="0" xfId="0" applyNumberFormat="1" applyFont="1" applyBorder="1" applyAlignment="1">
      <alignment horizontal="right" indent="1"/>
    </xf>
    <xf numFmtId="0" fontId="4" fillId="33" borderId="16" xfId="0" applyFont="1" applyFill="1" applyBorder="1" applyAlignment="1">
      <alignment horizontal="right" indent="1"/>
    </xf>
    <xf numFmtId="1" fontId="3" fillId="0" borderId="16" xfId="0" applyNumberFormat="1" applyFont="1" applyBorder="1" applyAlignment="1">
      <alignment horizontal="right" indent="1"/>
    </xf>
    <xf numFmtId="2" fontId="3" fillId="0" borderId="16" xfId="0" applyNumberFormat="1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177" fontId="3" fillId="0" borderId="16" xfId="0" applyNumberFormat="1" applyFont="1" applyBorder="1" applyAlignment="1">
      <alignment horizontal="right" indent="1"/>
    </xf>
    <xf numFmtId="177" fontId="3" fillId="0" borderId="0" xfId="0" applyNumberFormat="1" applyFont="1" applyAlignment="1">
      <alignment horizontal="right" indent="1"/>
    </xf>
    <xf numFmtId="170" fontId="3" fillId="0" borderId="0" xfId="0" applyNumberFormat="1" applyFont="1" applyAlignment="1">
      <alignment horizontal="right" indent="1"/>
    </xf>
    <xf numFmtId="0" fontId="4" fillId="35" borderId="10" xfId="0" applyFont="1" applyFill="1" applyBorder="1" applyAlignment="1">
      <alignment horizontal="right" indent="1"/>
    </xf>
    <xf numFmtId="0" fontId="4" fillId="35" borderId="11" xfId="0" applyFont="1" applyFill="1" applyBorder="1" applyAlignment="1">
      <alignment horizontal="right" indent="1"/>
    </xf>
    <xf numFmtId="0" fontId="4" fillId="35" borderId="12" xfId="0" applyFont="1" applyFill="1" applyBorder="1" applyAlignment="1">
      <alignment horizontal="right" indent="1"/>
    </xf>
    <xf numFmtId="0" fontId="4" fillId="35" borderId="13" xfId="0" applyFont="1" applyFill="1" applyBorder="1" applyAlignment="1">
      <alignment horizontal="right" indent="1"/>
    </xf>
    <xf numFmtId="0" fontId="4" fillId="35" borderId="0" xfId="0" applyFont="1" applyFill="1" applyBorder="1" applyAlignment="1">
      <alignment horizontal="right" indent="1"/>
    </xf>
    <xf numFmtId="0" fontId="4" fillId="35" borderId="14" xfId="0" applyFont="1" applyFill="1" applyBorder="1" applyAlignment="1">
      <alignment horizontal="right" indent="1"/>
    </xf>
    <xf numFmtId="0" fontId="4" fillId="35" borderId="15" xfId="0" applyFont="1" applyFill="1" applyBorder="1" applyAlignment="1">
      <alignment horizontal="right" indent="1"/>
    </xf>
    <xf numFmtId="0" fontId="4" fillId="35" borderId="16" xfId="0" applyFont="1" applyFill="1" applyBorder="1" applyAlignment="1">
      <alignment horizontal="right" indent="1"/>
    </xf>
    <xf numFmtId="0" fontId="4" fillId="35" borderId="17" xfId="0" applyFont="1" applyFill="1" applyBorder="1" applyAlignment="1">
      <alignment horizontal="right" indent="1"/>
    </xf>
    <xf numFmtId="0" fontId="3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166" fontId="10" fillId="0" borderId="0" xfId="0" applyNumberFormat="1" applyFont="1" applyAlignment="1">
      <alignment horizontal="right" indent="1"/>
    </xf>
    <xf numFmtId="166" fontId="35" fillId="33" borderId="21" xfId="0" applyNumberFormat="1" applyFont="1" applyFill="1" applyBorder="1" applyAlignment="1">
      <alignment horizontal="right" indent="1"/>
    </xf>
    <xf numFmtId="0" fontId="35" fillId="33" borderId="21" xfId="0" applyNumberFormat="1" applyFont="1" applyFill="1" applyBorder="1" applyAlignment="1">
      <alignment horizontal="right" indent="1"/>
    </xf>
    <xf numFmtId="2" fontId="35" fillId="33" borderId="21" xfId="0" applyNumberFormat="1" applyFont="1" applyFill="1" applyBorder="1" applyAlignment="1">
      <alignment horizontal="right" indent="1"/>
    </xf>
    <xf numFmtId="3" fontId="10" fillId="0" borderId="21" xfId="0" applyNumberFormat="1" applyFont="1" applyBorder="1" applyAlignment="1">
      <alignment horizontal="right" indent="1"/>
    </xf>
    <xf numFmtId="166" fontId="35" fillId="33" borderId="0" xfId="0" applyNumberFormat="1" applyFont="1" applyFill="1" applyBorder="1" applyAlignment="1">
      <alignment horizontal="right" indent="1"/>
    </xf>
    <xf numFmtId="0" fontId="35" fillId="33" borderId="0" xfId="0" applyNumberFormat="1" applyFont="1" applyFill="1" applyBorder="1" applyAlignment="1">
      <alignment horizontal="right" indent="1"/>
    </xf>
    <xf numFmtId="2" fontId="35" fillId="33" borderId="0" xfId="0" applyNumberFormat="1" applyFont="1" applyFill="1" applyBorder="1" applyAlignment="1">
      <alignment horizontal="right" indent="1"/>
    </xf>
    <xf numFmtId="3" fontId="10" fillId="0" borderId="0" xfId="0" applyNumberFormat="1" applyFont="1" applyBorder="1" applyAlignment="1">
      <alignment horizontal="right" indent="1"/>
    </xf>
    <xf numFmtId="166" fontId="35" fillId="33" borderId="18" xfId="0" applyNumberFormat="1" applyFont="1" applyFill="1" applyBorder="1" applyAlignment="1">
      <alignment horizontal="right" indent="1"/>
    </xf>
    <xf numFmtId="0" fontId="35" fillId="33" borderId="18" xfId="0" applyNumberFormat="1" applyFont="1" applyFill="1" applyBorder="1" applyAlignment="1">
      <alignment horizontal="right" indent="1"/>
    </xf>
    <xf numFmtId="2" fontId="35" fillId="33" borderId="18" xfId="0" applyNumberFormat="1" applyFont="1" applyFill="1" applyBorder="1" applyAlignment="1">
      <alignment horizontal="right" indent="1"/>
    </xf>
    <xf numFmtId="3" fontId="10" fillId="0" borderId="18" xfId="0" applyNumberFormat="1" applyFont="1" applyBorder="1" applyAlignment="1">
      <alignment horizontal="right" indent="1"/>
    </xf>
    <xf numFmtId="166" fontId="10" fillId="0" borderId="21" xfId="0" applyNumberFormat="1" applyFont="1" applyBorder="1" applyAlignment="1">
      <alignment horizontal="right" indent="1"/>
    </xf>
    <xf numFmtId="166" fontId="10" fillId="0" borderId="0" xfId="0" applyNumberFormat="1" applyFont="1" applyBorder="1" applyAlignment="1">
      <alignment horizontal="right" indent="1"/>
    </xf>
    <xf numFmtId="166" fontId="10" fillId="0" borderId="18" xfId="0" applyNumberFormat="1" applyFont="1" applyBorder="1" applyAlignment="1">
      <alignment horizontal="right" indent="1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left" indent="1"/>
    </xf>
    <xf numFmtId="0" fontId="10" fillId="0" borderId="21" xfId="0" applyFont="1" applyBorder="1" applyAlignment="1">
      <alignment horizontal="left" indent="1"/>
    </xf>
    <xf numFmtId="0" fontId="10" fillId="0" borderId="21" xfId="0" applyFont="1" applyBorder="1" applyAlignment="1">
      <alignment/>
    </xf>
    <xf numFmtId="4" fontId="10" fillId="0" borderId="21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 indent="1"/>
    </xf>
    <xf numFmtId="0" fontId="10" fillId="0" borderId="18" xfId="0" applyFont="1" applyBorder="1" applyAlignment="1">
      <alignment horizontal="left" indent="1"/>
    </xf>
    <xf numFmtId="0" fontId="10" fillId="0" borderId="18" xfId="0" applyFont="1" applyBorder="1" applyAlignment="1">
      <alignment/>
    </xf>
    <xf numFmtId="4" fontId="10" fillId="0" borderId="18" xfId="0" applyNumberFormat="1" applyFont="1" applyBorder="1" applyAlignment="1">
      <alignment horizontal="right" indent="1"/>
    </xf>
    <xf numFmtId="0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right" indent="1"/>
    </xf>
    <xf numFmtId="166" fontId="10" fillId="0" borderId="0" xfId="0" applyNumberFormat="1" applyFont="1" applyAlignment="1" quotePrefix="1">
      <alignment horizontal="right" indent="1"/>
    </xf>
    <xf numFmtId="178" fontId="10" fillId="0" borderId="0" xfId="0" applyNumberFormat="1" applyFont="1" applyAlignment="1" quotePrefix="1">
      <alignment horizontal="right" indent="1"/>
    </xf>
    <xf numFmtId="0" fontId="56" fillId="0" borderId="0" xfId="0" applyNumberFormat="1" applyFont="1" applyAlignment="1">
      <alignment horizontal="right"/>
    </xf>
    <xf numFmtId="0" fontId="56" fillId="0" borderId="0" xfId="0" applyNumberFormat="1" applyFont="1" applyAlignment="1">
      <alignment/>
    </xf>
    <xf numFmtId="3" fontId="35" fillId="33" borderId="0" xfId="0" applyNumberFormat="1" applyFont="1" applyFill="1" applyBorder="1" applyAlignment="1">
      <alignment horizontal="right" indent="1"/>
    </xf>
    <xf numFmtId="10" fontId="35" fillId="33" borderId="0" xfId="0" applyNumberFormat="1" applyFont="1" applyFill="1" applyBorder="1" applyAlignment="1">
      <alignment horizontal="right" indent="1"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indent="1"/>
    </xf>
    <xf numFmtId="0" fontId="10" fillId="0" borderId="0" xfId="0" applyNumberFormat="1" applyFont="1" applyBorder="1" applyAlignment="1">
      <alignment/>
    </xf>
    <xf numFmtId="0" fontId="35" fillId="33" borderId="0" xfId="0" applyNumberFormat="1" applyFont="1" applyFill="1" applyBorder="1" applyAlignment="1">
      <alignment horizontal="center"/>
    </xf>
    <xf numFmtId="9" fontId="35" fillId="33" borderId="0" xfId="0" applyNumberFormat="1" applyFont="1" applyFill="1" applyBorder="1" applyAlignment="1">
      <alignment horizontal="right" indent="1"/>
    </xf>
    <xf numFmtId="0" fontId="54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36" borderId="11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 horizontal="right" indent="1"/>
    </xf>
    <xf numFmtId="3" fontId="10" fillId="0" borderId="16" xfId="0" applyNumberFormat="1" applyFont="1" applyBorder="1" applyAlignment="1">
      <alignment horizontal="right" indent="1"/>
    </xf>
    <xf numFmtId="3" fontId="35" fillId="33" borderId="11" xfId="0" applyNumberFormat="1" applyFont="1" applyFill="1" applyBorder="1" applyAlignment="1">
      <alignment horizontal="right" indent="1"/>
    </xf>
    <xf numFmtId="166" fontId="10" fillId="0" borderId="16" xfId="0" applyNumberFormat="1" applyFont="1" applyBorder="1" applyAlignment="1">
      <alignment horizontal="right" indent="1"/>
    </xf>
    <xf numFmtId="0" fontId="10" fillId="0" borderId="11" xfId="0" applyFont="1" applyBorder="1" applyAlignment="1">
      <alignment horizontal="right" indent="1"/>
    </xf>
    <xf numFmtId="9" fontId="35" fillId="33" borderId="11" xfId="0" applyNumberFormat="1" applyFont="1" applyFill="1" applyBorder="1" applyAlignment="1">
      <alignment horizontal="right" indent="1"/>
    </xf>
    <xf numFmtId="10" fontId="35" fillId="33" borderId="16" xfId="0" applyNumberFormat="1" applyFont="1" applyFill="1" applyBorder="1" applyAlignment="1">
      <alignment horizontal="right" inden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right" indent="1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/>
    </xf>
    <xf numFmtId="0" fontId="54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 indent="1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 quotePrefix="1">
      <alignment horizontal="right" indent="1"/>
    </xf>
    <xf numFmtId="3" fontId="10" fillId="0" borderId="0" xfId="0" applyNumberFormat="1" applyFont="1" applyAlignment="1">
      <alignment horizontal="right" indent="1"/>
    </xf>
    <xf numFmtId="0" fontId="54" fillId="0" borderId="24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/>
    </xf>
    <xf numFmtId="166" fontId="10" fillId="0" borderId="24" xfId="0" applyNumberFormat="1" applyFont="1" applyBorder="1" applyAlignment="1" quotePrefix="1">
      <alignment horizontal="right" indent="1"/>
    </xf>
    <xf numFmtId="0" fontId="10" fillId="0" borderId="24" xfId="0" applyFont="1" applyBorder="1" applyAlignment="1">
      <alignment/>
    </xf>
    <xf numFmtId="178" fontId="10" fillId="0" borderId="24" xfId="0" applyNumberFormat="1" applyFont="1" applyBorder="1" applyAlignment="1">
      <alignment horizontal="right" indent="1"/>
    </xf>
    <xf numFmtId="0" fontId="54" fillId="0" borderId="16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/>
    </xf>
    <xf numFmtId="166" fontId="10" fillId="0" borderId="0" xfId="0" applyNumberFormat="1" applyFont="1" applyAlignment="1" quotePrefix="1">
      <alignment horizontal="centerContinuous"/>
    </xf>
    <xf numFmtId="166" fontId="10" fillId="0" borderId="16" xfId="0" applyNumberFormat="1" applyFont="1" applyBorder="1" applyAlignment="1" quotePrefix="1">
      <alignment horizontal="centerContinuous"/>
    </xf>
    <xf numFmtId="0" fontId="35" fillId="33" borderId="0" xfId="0" applyNumberFormat="1" applyFont="1" applyFill="1" applyBorder="1" applyAlignment="1">
      <alignment horizontal="left" indent="1"/>
    </xf>
    <xf numFmtId="0" fontId="35" fillId="33" borderId="21" xfId="0" applyNumberFormat="1" applyFont="1" applyFill="1" applyBorder="1" applyAlignment="1">
      <alignment horizontal="center"/>
    </xf>
    <xf numFmtId="0" fontId="35" fillId="33" borderId="21" xfId="0" applyNumberFormat="1" applyFont="1" applyFill="1" applyBorder="1" applyAlignment="1">
      <alignment horizontal="left" indent="1"/>
    </xf>
    <xf numFmtId="0" fontId="35" fillId="33" borderId="18" xfId="0" applyNumberFormat="1" applyFont="1" applyFill="1" applyBorder="1" applyAlignment="1">
      <alignment horizontal="center"/>
    </xf>
    <xf numFmtId="0" fontId="35" fillId="33" borderId="18" xfId="0" applyNumberFormat="1" applyFont="1" applyFill="1" applyBorder="1" applyAlignment="1">
      <alignment horizontal="left" indent="1"/>
    </xf>
    <xf numFmtId="0" fontId="10" fillId="0" borderId="21" xfId="0" applyFont="1" applyBorder="1" applyAlignment="1">
      <alignment/>
    </xf>
    <xf numFmtId="14" fontId="10" fillId="0" borderId="0" xfId="0" applyNumberFormat="1" applyFont="1" applyBorder="1" applyAlignment="1">
      <alignment horizontal="right" indent="1"/>
    </xf>
    <xf numFmtId="189" fontId="10" fillId="0" borderId="0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right" indent="1"/>
    </xf>
    <xf numFmtId="2" fontId="10" fillId="0" borderId="0" xfId="0" applyNumberFormat="1" applyFont="1" applyBorder="1" applyAlignment="1">
      <alignment horizontal="right" indent="1"/>
    </xf>
    <xf numFmtId="0" fontId="10" fillId="0" borderId="0" xfId="0" applyNumberFormat="1" applyFont="1" applyBorder="1" applyAlignment="1">
      <alignment horizontal="right" indent="1"/>
    </xf>
    <xf numFmtId="0" fontId="10" fillId="0" borderId="18" xfId="0" applyNumberFormat="1" applyFont="1" applyBorder="1" applyAlignment="1">
      <alignment horizontal="right" indent="1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36" fillId="0" borderId="21" xfId="0" applyFont="1" applyBorder="1" applyAlignment="1">
      <alignment/>
    </xf>
    <xf numFmtId="166" fontId="3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Actual and 205-Day Adj. Weaning Weights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8625"/>
          <c:w val="0.9115"/>
          <c:h val="0.84"/>
        </c:manualLayout>
      </c:layout>
      <c:barChart>
        <c:barDir val="col"/>
        <c:grouping val="clustered"/>
        <c:varyColors val="0"/>
        <c:ser>
          <c:idx val="1"/>
          <c:order val="0"/>
          <c:tx>
            <c:v>Actual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'205-day weight'!$A$7:$A$16</c:f>
              <c:strCache/>
            </c:strRef>
          </c:cat>
          <c:val>
            <c:numRef>
              <c:f>'205-day weight'!$F$7:$F$16</c:f>
              <c:numCache/>
            </c:numRef>
          </c:val>
        </c:ser>
        <c:ser>
          <c:idx val="0"/>
          <c:order val="1"/>
          <c:tx>
            <c:v>205 Adj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'205-day weight'!$A$7:$A$16</c:f>
              <c:strCache/>
            </c:strRef>
          </c:cat>
          <c:val>
            <c:numRef>
              <c:f>'205-day weight'!$K$7:$K$16</c:f>
              <c:numCache/>
            </c:numRef>
          </c:val>
        </c:ser>
        <c:axId val="59504124"/>
        <c:axId val="65775069"/>
      </c:barChart>
      <c:lineChart>
        <c:grouping val="standard"/>
        <c:varyColors val="0"/>
        <c:ser>
          <c:idx val="2"/>
          <c:order val="2"/>
          <c:tx>
            <c:v>Index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'205-day weight'!$L$7:$L$16</c:f>
              <c:numCache/>
            </c:numRef>
          </c:val>
          <c:smooth val="0"/>
        </c:ser>
        <c:axId val="55104710"/>
        <c:axId val="26180343"/>
      </c:lineChart>
      <c:catAx>
        <c:axId val="59504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Calf ID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 val="autoZero"/>
        <c:auto val="0"/>
        <c:lblOffset val="100"/>
        <c:tickLblSkip val="1"/>
        <c:noMultiLvlLbl val="0"/>
      </c:catAx>
      <c:valAx>
        <c:axId val="65775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Weight, lbs/hd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At val="1"/>
        <c:crossBetween val="between"/>
        <c:dispUnits/>
      </c:valAx>
      <c:catAx>
        <c:axId val="55104710"/>
        <c:scaling>
          <c:orientation val="minMax"/>
        </c:scaling>
        <c:axPos val="b"/>
        <c:delete val="1"/>
        <c:majorTickMark val="out"/>
        <c:minorTickMark val="none"/>
        <c:tickLblPos val="nextTo"/>
        <c:crossAx val="26180343"/>
        <c:crosses val="autoZero"/>
        <c:auto val="0"/>
        <c:lblOffset val="100"/>
        <c:tickLblSkip val="1"/>
        <c:noMultiLvlLbl val="0"/>
      </c:catAx>
      <c:valAx>
        <c:axId val="26180343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4710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6"/>
          <c:y val="0.14525"/>
          <c:w val="0.407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38100</xdr:rowOff>
    </xdr:from>
    <xdr:to>
      <xdr:col>9</xdr:col>
      <xdr:colOff>9525</xdr:colOff>
      <xdr:row>47</xdr:row>
      <xdr:rowOff>38100</xdr:rowOff>
    </xdr:to>
    <xdr:graphicFrame>
      <xdr:nvGraphicFramePr>
        <xdr:cNvPr id="1" name="Chart 2"/>
        <xdr:cNvGraphicFramePr/>
      </xdr:nvGraphicFramePr>
      <xdr:xfrm>
        <a:off x="9525" y="5924550"/>
        <a:ext cx="64293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30.7109375" style="1" customWidth="1"/>
    <col min="2" max="3" width="12.7109375" style="1" customWidth="1"/>
    <col min="4" max="4" width="4.7109375" style="1" customWidth="1"/>
    <col min="5" max="6" width="12.7109375" style="1" customWidth="1"/>
    <col min="7" max="7" width="4.7109375" style="1" customWidth="1"/>
    <col min="8" max="9" width="12.7109375" style="1" customWidth="1"/>
    <col min="10" max="10" width="4.7109375" style="1" customWidth="1"/>
    <col min="11" max="11" width="12.7109375" style="1" customWidth="1"/>
    <col min="12" max="12" width="9.140625" style="1" customWidth="1"/>
    <col min="13" max="13" width="12.421875" style="1" bestFit="1" customWidth="1"/>
    <col min="14" max="16384" width="9.140625" style="1" customWidth="1"/>
  </cols>
  <sheetData>
    <row r="1" spans="1:11" s="120" customFormat="1" ht="19.5" customHeight="1" thickBot="1">
      <c r="A1" s="122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9" ht="15" customHeight="1" thickTop="1">
      <c r="A2" s="39"/>
      <c r="I2" s="40"/>
    </row>
    <row r="3" spans="1:9" ht="15" customHeight="1" thickBot="1">
      <c r="A3" s="15" t="s">
        <v>85</v>
      </c>
      <c r="B3" s="15"/>
      <c r="C3" s="15"/>
      <c r="F3" s="15" t="s">
        <v>88</v>
      </c>
      <c r="G3" s="15"/>
      <c r="H3" s="15"/>
      <c r="I3" s="40"/>
    </row>
    <row r="4" spans="1:9" ht="15" customHeight="1">
      <c r="A4" s="1" t="s">
        <v>15</v>
      </c>
      <c r="C4" s="81">
        <v>0.212</v>
      </c>
      <c r="F4" s="1" t="s">
        <v>0</v>
      </c>
      <c r="H4" s="103">
        <v>800</v>
      </c>
      <c r="I4" s="40"/>
    </row>
    <row r="5" spans="1:9" ht="15" customHeight="1">
      <c r="A5" s="1" t="s">
        <v>16</v>
      </c>
      <c r="C5" s="81">
        <v>0.163</v>
      </c>
      <c r="F5" s="1" t="s">
        <v>11</v>
      </c>
      <c r="H5" s="103">
        <v>400</v>
      </c>
      <c r="I5" s="40"/>
    </row>
    <row r="6" spans="1:9" ht="15" customHeight="1" thickBot="1">
      <c r="A6" s="1" t="s">
        <v>17</v>
      </c>
      <c r="C6" s="81">
        <v>0.248</v>
      </c>
      <c r="F6" s="15" t="s">
        <v>1</v>
      </c>
      <c r="G6" s="15"/>
      <c r="H6" s="104">
        <v>400</v>
      </c>
      <c r="I6" s="40"/>
    </row>
    <row r="7" spans="1:9" ht="15" customHeight="1">
      <c r="A7" s="1" t="s">
        <v>82</v>
      </c>
      <c r="C7" s="81">
        <v>0.215</v>
      </c>
      <c r="F7" s="1" t="s">
        <v>87</v>
      </c>
      <c r="H7" s="74">
        <f>SUM(H4,H5,H6)</f>
        <v>1600</v>
      </c>
      <c r="I7" s="40"/>
    </row>
    <row r="8" spans="1:9" ht="15" customHeight="1">
      <c r="A8" s="1" t="s">
        <v>83</v>
      </c>
      <c r="C8" s="81">
        <v>0.126</v>
      </c>
      <c r="I8" s="40"/>
    </row>
    <row r="9" spans="1:9" ht="15" customHeight="1" thickBot="1">
      <c r="A9" s="15" t="s">
        <v>84</v>
      </c>
      <c r="B9" s="15"/>
      <c r="C9" s="83">
        <v>0.036</v>
      </c>
      <c r="I9" s="40"/>
    </row>
    <row r="10" spans="1:9" ht="15" customHeight="1">
      <c r="A10" s="1" t="s">
        <v>6</v>
      </c>
      <c r="C10" s="82">
        <f>SUM(C4:C9)</f>
        <v>1</v>
      </c>
      <c r="I10" s="40"/>
    </row>
    <row r="11" spans="1:9" ht="15" customHeight="1">
      <c r="A11" s="39"/>
      <c r="I11" s="40"/>
    </row>
    <row r="12" spans="1:11" s="10" customFormat="1" ht="15" customHeight="1">
      <c r="A12" s="86"/>
      <c r="B12" s="19" t="s">
        <v>0</v>
      </c>
      <c r="C12" s="19"/>
      <c r="E12" s="19" t="s">
        <v>11</v>
      </c>
      <c r="F12" s="19"/>
      <c r="H12" s="19" t="s">
        <v>1</v>
      </c>
      <c r="I12" s="19"/>
      <c r="K12" s="87" t="s">
        <v>89</v>
      </c>
    </row>
    <row r="13" spans="1:11" ht="15" customHeight="1" thickBot="1">
      <c r="A13" s="71" t="s">
        <v>80</v>
      </c>
      <c r="B13" s="57" t="s">
        <v>73</v>
      </c>
      <c r="C13" s="57" t="s">
        <v>74</v>
      </c>
      <c r="D13" s="57"/>
      <c r="E13" s="57" t="s">
        <v>73</v>
      </c>
      <c r="F13" s="57" t="s">
        <v>74</v>
      </c>
      <c r="G13" s="57"/>
      <c r="H13" s="57" t="s">
        <v>73</v>
      </c>
      <c r="I13" s="57" t="s">
        <v>74</v>
      </c>
      <c r="J13" s="57"/>
      <c r="K13" s="57" t="s">
        <v>6</v>
      </c>
    </row>
    <row r="14" spans="1:11" ht="15" customHeight="1">
      <c r="A14" s="1" t="s">
        <v>69</v>
      </c>
      <c r="B14" s="68">
        <v>12.59</v>
      </c>
      <c r="C14" s="70">
        <v>1</v>
      </c>
      <c r="D14" s="69"/>
      <c r="E14" s="68">
        <f>B14</f>
        <v>12.59</v>
      </c>
      <c r="F14" s="70">
        <v>0</v>
      </c>
      <c r="G14" s="69"/>
      <c r="H14" s="68">
        <f>E14</f>
        <v>12.59</v>
      </c>
      <c r="I14" s="70">
        <v>0</v>
      </c>
      <c r="K14" s="72">
        <f aca="true" t="shared" si="0" ref="K14:K22">C14*H$4+F14*H$5+I14*H$6</f>
        <v>800</v>
      </c>
    </row>
    <row r="15" spans="1:11" ht="15" customHeight="1">
      <c r="A15" s="1" t="s">
        <v>70</v>
      </c>
      <c r="B15" s="68">
        <v>11.97</v>
      </c>
      <c r="C15" s="70">
        <v>1</v>
      </c>
      <c r="D15" s="69"/>
      <c r="E15" s="68">
        <f aca="true" t="shared" si="1" ref="E15:E21">B15</f>
        <v>11.97</v>
      </c>
      <c r="F15" s="70">
        <v>0</v>
      </c>
      <c r="G15" s="69"/>
      <c r="H15" s="68">
        <f aca="true" t="shared" si="2" ref="H15:H21">E15</f>
        <v>11.97</v>
      </c>
      <c r="I15" s="70">
        <v>0</v>
      </c>
      <c r="K15" s="72">
        <f t="shared" si="0"/>
        <v>800</v>
      </c>
    </row>
    <row r="16" spans="1:11" ht="15" customHeight="1">
      <c r="A16" s="1" t="s">
        <v>71</v>
      </c>
      <c r="B16" s="68">
        <v>11.11</v>
      </c>
      <c r="C16" s="70">
        <v>1</v>
      </c>
      <c r="D16" s="69"/>
      <c r="E16" s="68">
        <f t="shared" si="1"/>
        <v>11.11</v>
      </c>
      <c r="F16" s="70">
        <v>0</v>
      </c>
      <c r="G16" s="69"/>
      <c r="H16" s="68">
        <f t="shared" si="2"/>
        <v>11.11</v>
      </c>
      <c r="I16" s="70">
        <v>1</v>
      </c>
      <c r="K16" s="72">
        <f t="shared" si="0"/>
        <v>1200</v>
      </c>
    </row>
    <row r="17" spans="1:11" ht="15" customHeight="1">
      <c r="A17" s="1" t="s">
        <v>75</v>
      </c>
      <c r="B17" s="68">
        <v>15.86</v>
      </c>
      <c r="C17" s="70">
        <v>1</v>
      </c>
      <c r="D17" s="69"/>
      <c r="E17" s="68">
        <v>18.25</v>
      </c>
      <c r="F17" s="70">
        <v>1</v>
      </c>
      <c r="G17" s="69"/>
      <c r="H17" s="68">
        <v>18.38</v>
      </c>
      <c r="I17" s="70">
        <v>1</v>
      </c>
      <c r="K17" s="72">
        <f t="shared" si="0"/>
        <v>1600</v>
      </c>
    </row>
    <row r="18" spans="1:11" ht="15" customHeight="1">
      <c r="A18" s="1" t="s">
        <v>76</v>
      </c>
      <c r="B18" s="68">
        <v>14.52</v>
      </c>
      <c r="C18" s="70">
        <v>1</v>
      </c>
      <c r="D18" s="69"/>
      <c r="E18" s="68">
        <f t="shared" si="1"/>
        <v>14.52</v>
      </c>
      <c r="F18" s="70">
        <v>1</v>
      </c>
      <c r="G18" s="69"/>
      <c r="H18" s="68">
        <f t="shared" si="2"/>
        <v>14.52</v>
      </c>
      <c r="I18" s="70">
        <v>0</v>
      </c>
      <c r="K18" s="72">
        <f t="shared" si="0"/>
        <v>1200</v>
      </c>
    </row>
    <row r="19" spans="1:11" ht="15" customHeight="1">
      <c r="A19" s="1" t="s">
        <v>77</v>
      </c>
      <c r="B19" s="68">
        <v>6.19</v>
      </c>
      <c r="C19" s="70">
        <v>0</v>
      </c>
      <c r="D19" s="69"/>
      <c r="E19" s="68">
        <f t="shared" si="1"/>
        <v>6.19</v>
      </c>
      <c r="F19" s="70">
        <v>1</v>
      </c>
      <c r="G19" s="69"/>
      <c r="H19" s="68">
        <f t="shared" si="2"/>
        <v>6.19</v>
      </c>
      <c r="I19" s="70">
        <v>1</v>
      </c>
      <c r="K19" s="72">
        <f t="shared" si="0"/>
        <v>800</v>
      </c>
    </row>
    <row r="20" spans="1:11" ht="15" customHeight="1">
      <c r="A20" s="1" t="s">
        <v>78</v>
      </c>
      <c r="B20" s="68">
        <v>6.26</v>
      </c>
      <c r="C20" s="70">
        <v>1</v>
      </c>
      <c r="D20" s="69"/>
      <c r="E20" s="68">
        <f t="shared" si="1"/>
        <v>6.26</v>
      </c>
      <c r="F20" s="70">
        <v>2</v>
      </c>
      <c r="G20" s="69"/>
      <c r="H20" s="68">
        <f t="shared" si="2"/>
        <v>6.26</v>
      </c>
      <c r="I20" s="70">
        <v>2</v>
      </c>
      <c r="K20" s="72">
        <f t="shared" si="0"/>
        <v>2400</v>
      </c>
    </row>
    <row r="21" spans="1:11" ht="15" customHeight="1">
      <c r="A21" s="1" t="s">
        <v>79</v>
      </c>
      <c r="B21" s="68">
        <v>6.29</v>
      </c>
      <c r="C21" s="70">
        <v>1</v>
      </c>
      <c r="D21" s="69"/>
      <c r="E21" s="68">
        <f t="shared" si="1"/>
        <v>6.29</v>
      </c>
      <c r="F21" s="70">
        <v>0</v>
      </c>
      <c r="G21" s="69"/>
      <c r="H21" s="68">
        <f t="shared" si="2"/>
        <v>6.29</v>
      </c>
      <c r="I21" s="70">
        <v>0</v>
      </c>
      <c r="K21" s="72">
        <f t="shared" si="0"/>
        <v>800</v>
      </c>
    </row>
    <row r="22" spans="1:11" ht="15" customHeight="1">
      <c r="A22" s="76" t="s">
        <v>72</v>
      </c>
      <c r="B22" s="77">
        <f>22.28+(48-22)*0.22+48*0.21</f>
        <v>38.08</v>
      </c>
      <c r="C22" s="78">
        <v>1</v>
      </c>
      <c r="D22" s="79"/>
      <c r="E22" s="77">
        <f>22.68+(85-35)*0.22+85*0.2</f>
        <v>50.68</v>
      </c>
      <c r="F22" s="78">
        <v>1</v>
      </c>
      <c r="G22" s="79"/>
      <c r="H22" s="77">
        <f>27.67+(35-28)*0.2+35*0.18</f>
        <v>35.37</v>
      </c>
      <c r="I22" s="78">
        <v>1</v>
      </c>
      <c r="J22" s="76"/>
      <c r="K22" s="80">
        <f t="shared" si="0"/>
        <v>1600</v>
      </c>
    </row>
    <row r="23" spans="1:13" ht="15" customHeight="1" thickBot="1">
      <c r="A23" s="97" t="s">
        <v>6</v>
      </c>
      <c r="B23" s="98">
        <f>SUMPRODUCT(B14:B22,C14:C22)</f>
        <v>116.68</v>
      </c>
      <c r="C23" s="99">
        <f>SUM(C14:C22)</f>
        <v>8</v>
      </c>
      <c r="D23" s="100"/>
      <c r="E23" s="98">
        <f>SUMPRODUCT(E14:E22,F14:F22)</f>
        <v>102.16</v>
      </c>
      <c r="F23" s="99">
        <f>SUM(F14:F22)</f>
        <v>6</v>
      </c>
      <c r="G23" s="101"/>
      <c r="H23" s="98">
        <f>SUMPRODUCT(H14:H22,I14:I22)</f>
        <v>83.57</v>
      </c>
      <c r="I23" s="99">
        <f>SUM(I14:I22)</f>
        <v>6</v>
      </c>
      <c r="J23" s="97"/>
      <c r="K23" s="102">
        <f>SUM(K14:K22)</f>
        <v>11200</v>
      </c>
      <c r="M23" s="38"/>
    </row>
    <row r="24" ht="15" customHeight="1">
      <c r="K24" s="73"/>
    </row>
    <row r="25" spans="1:11" ht="15" customHeight="1" thickBot="1">
      <c r="A25" s="15" t="s">
        <v>86</v>
      </c>
      <c r="B25" s="57" t="s">
        <v>73</v>
      </c>
      <c r="C25" s="57" t="s">
        <v>90</v>
      </c>
      <c r="D25" s="57"/>
      <c r="E25" s="57" t="s">
        <v>73</v>
      </c>
      <c r="F25" s="57" t="s">
        <v>90</v>
      </c>
      <c r="G25" s="57"/>
      <c r="H25" s="57" t="s">
        <v>73</v>
      </c>
      <c r="I25" s="57" t="s">
        <v>90</v>
      </c>
      <c r="J25" s="57"/>
      <c r="K25" s="57" t="s">
        <v>6</v>
      </c>
    </row>
    <row r="26" spans="1:11" ht="15" customHeight="1">
      <c r="A26" s="1" t="str">
        <f aca="true" t="shared" si="3" ref="A26:A31">A4</f>
        <v>Fuel and oil</v>
      </c>
      <c r="B26" s="84">
        <f aca="true" t="shared" si="4" ref="B26:B31">B$23*$C4</f>
        <v>24.73616</v>
      </c>
      <c r="C26" s="88">
        <f aca="true" t="shared" si="5" ref="C26:C31">B26*$H$4</f>
        <v>19788.928</v>
      </c>
      <c r="E26" s="84">
        <f aca="true" t="shared" si="6" ref="E26:E31">E$23*$C4</f>
        <v>21.657919999999997</v>
      </c>
      <c r="F26" s="88">
        <f aca="true" t="shared" si="7" ref="F26:F31">E26*$H$5</f>
        <v>8663.168</v>
      </c>
      <c r="H26" s="84">
        <f aca="true" t="shared" si="8" ref="H26:H31">H$23*$C4</f>
        <v>17.716839999999998</v>
      </c>
      <c r="I26" s="88">
        <f aca="true" t="shared" si="9" ref="I26:I31">H26*$H$6</f>
        <v>7086.735999999999</v>
      </c>
      <c r="K26" s="85">
        <f aca="true" t="shared" si="10" ref="K26:K32">B26*H$4+E26*H$5+H26*H$6</f>
        <v>35538.831999999995</v>
      </c>
    </row>
    <row r="27" spans="1:11" ht="15" customHeight="1">
      <c r="A27" s="1" t="str">
        <f t="shared" si="3"/>
        <v>Repairs</v>
      </c>
      <c r="B27" s="84">
        <f t="shared" si="4"/>
        <v>19.01884</v>
      </c>
      <c r="C27" s="88">
        <f t="shared" si="5"/>
        <v>15215.072</v>
      </c>
      <c r="E27" s="84">
        <f t="shared" si="6"/>
        <v>16.65208</v>
      </c>
      <c r="F27" s="88">
        <f t="shared" si="7"/>
        <v>6660.832</v>
      </c>
      <c r="H27" s="84">
        <f t="shared" si="8"/>
        <v>13.62191</v>
      </c>
      <c r="I27" s="88">
        <f t="shared" si="9"/>
        <v>5448.764</v>
      </c>
      <c r="K27" s="85">
        <f t="shared" si="10"/>
        <v>27324.668</v>
      </c>
    </row>
    <row r="28" spans="1:11" ht="15" customHeight="1">
      <c r="A28" s="1" t="str">
        <f t="shared" si="3"/>
        <v>Labor</v>
      </c>
      <c r="B28" s="84">
        <f t="shared" si="4"/>
        <v>28.93664</v>
      </c>
      <c r="C28" s="88">
        <f t="shared" si="5"/>
        <v>23149.312</v>
      </c>
      <c r="E28" s="84">
        <f t="shared" si="6"/>
        <v>25.33568</v>
      </c>
      <c r="F28" s="88">
        <f t="shared" si="7"/>
        <v>10134.272</v>
      </c>
      <c r="H28" s="84">
        <f t="shared" si="8"/>
        <v>20.72536</v>
      </c>
      <c r="I28" s="88">
        <f t="shared" si="9"/>
        <v>8290.144</v>
      </c>
      <c r="K28" s="85">
        <f t="shared" si="10"/>
        <v>41573.728</v>
      </c>
    </row>
    <row r="29" spans="1:11" ht="15" customHeight="1">
      <c r="A29" s="1" t="str">
        <f t="shared" si="3"/>
        <v>Depreciation</v>
      </c>
      <c r="B29" s="84">
        <f t="shared" si="4"/>
        <v>25.0862</v>
      </c>
      <c r="C29" s="88">
        <f t="shared" si="5"/>
        <v>20068.960000000003</v>
      </c>
      <c r="E29" s="84">
        <f t="shared" si="6"/>
        <v>21.964399999999998</v>
      </c>
      <c r="F29" s="88">
        <f t="shared" si="7"/>
        <v>8785.759999999998</v>
      </c>
      <c r="H29" s="84">
        <f t="shared" si="8"/>
        <v>17.96755</v>
      </c>
      <c r="I29" s="88">
        <f t="shared" si="9"/>
        <v>7187.0199999999995</v>
      </c>
      <c r="K29" s="85">
        <f t="shared" si="10"/>
        <v>36041.74</v>
      </c>
    </row>
    <row r="30" spans="1:11" ht="15" customHeight="1">
      <c r="A30" s="1" t="str">
        <f t="shared" si="3"/>
        <v>Interest</v>
      </c>
      <c r="B30" s="84">
        <f t="shared" si="4"/>
        <v>14.701680000000001</v>
      </c>
      <c r="C30" s="88">
        <f t="shared" si="5"/>
        <v>11761.344000000001</v>
      </c>
      <c r="E30" s="84">
        <f t="shared" si="6"/>
        <v>12.87216</v>
      </c>
      <c r="F30" s="88">
        <f t="shared" si="7"/>
        <v>5148.864</v>
      </c>
      <c r="H30" s="84">
        <f t="shared" si="8"/>
        <v>10.529819999999999</v>
      </c>
      <c r="I30" s="88">
        <f t="shared" si="9"/>
        <v>4211.928</v>
      </c>
      <c r="K30" s="85">
        <f t="shared" si="10"/>
        <v>21122.136</v>
      </c>
    </row>
    <row r="31" spans="1:11" ht="15" customHeight="1">
      <c r="A31" s="86" t="str">
        <f t="shared" si="3"/>
        <v>Insurance and shelter</v>
      </c>
      <c r="B31" s="89">
        <f t="shared" si="4"/>
        <v>4.20048</v>
      </c>
      <c r="C31" s="88">
        <f t="shared" si="5"/>
        <v>3360.384</v>
      </c>
      <c r="D31" s="93"/>
      <c r="E31" s="89">
        <f t="shared" si="6"/>
        <v>3.6777599999999997</v>
      </c>
      <c r="F31" s="88">
        <f t="shared" si="7"/>
        <v>1471.1039999999998</v>
      </c>
      <c r="G31" s="93"/>
      <c r="H31" s="89">
        <f t="shared" si="8"/>
        <v>3.0085199999999994</v>
      </c>
      <c r="I31" s="88">
        <f t="shared" si="9"/>
        <v>1203.4079999999997</v>
      </c>
      <c r="J31" s="93"/>
      <c r="K31" s="94">
        <f t="shared" si="10"/>
        <v>6034.895999999999</v>
      </c>
    </row>
    <row r="32" spans="1:11" ht="15" customHeight="1" thickBot="1">
      <c r="A32" s="92" t="s">
        <v>6</v>
      </c>
      <c r="B32" s="90">
        <f>SUM(B26:B31)</f>
        <v>116.68</v>
      </c>
      <c r="C32" s="91">
        <f>B23*H4</f>
        <v>93344</v>
      </c>
      <c r="D32" s="95"/>
      <c r="E32" s="90">
        <f>SUM(E26:E31)</f>
        <v>102.16</v>
      </c>
      <c r="F32" s="91">
        <f>E23*H5</f>
        <v>40864</v>
      </c>
      <c r="G32" s="95"/>
      <c r="H32" s="90">
        <f>SUM(H26:H31)</f>
        <v>83.57000000000001</v>
      </c>
      <c r="I32" s="91">
        <f>H23*H6</f>
        <v>33428</v>
      </c>
      <c r="J32" s="95"/>
      <c r="K32" s="96">
        <f t="shared" si="10"/>
        <v>167636</v>
      </c>
    </row>
    <row r="33" spans="4:11" ht="15" customHeight="1" thickTop="1">
      <c r="D33" s="44"/>
      <c r="K33" s="75"/>
    </row>
    <row r="34" spans="1:9" ht="15" customHeight="1">
      <c r="A34" s="52"/>
      <c r="C34" s="38"/>
      <c r="F34" s="38"/>
      <c r="I34" s="38"/>
    </row>
    <row r="38" spans="4:7" ht="15" customHeight="1">
      <c r="D38" s="49"/>
      <c r="E38" s="45"/>
      <c r="F38" s="49"/>
      <c r="G38" s="45"/>
    </row>
    <row r="39" spans="4:7" ht="15" customHeight="1">
      <c r="D39" s="49"/>
      <c r="E39" s="46"/>
      <c r="F39" s="49"/>
      <c r="G39" s="46"/>
    </row>
    <row r="40" spans="4:7" ht="15" customHeight="1">
      <c r="D40" s="49"/>
      <c r="E40" s="46"/>
      <c r="F40" s="49"/>
      <c r="G40" s="46"/>
    </row>
    <row r="41" spans="4:7" ht="15" customHeight="1">
      <c r="D41" s="49"/>
      <c r="E41" s="46"/>
      <c r="F41" s="49"/>
      <c r="G41" s="46"/>
    </row>
    <row r="42" spans="4:7" ht="15" customHeight="1">
      <c r="D42" s="49"/>
      <c r="E42" s="46"/>
      <c r="F42" s="49"/>
      <c r="G42" s="46"/>
    </row>
    <row r="43" spans="4:7" ht="15" customHeight="1">
      <c r="D43" s="49"/>
      <c r="E43" s="46"/>
      <c r="F43" s="49"/>
      <c r="G43" s="46"/>
    </row>
    <row r="44" spans="3:7" ht="15" customHeight="1">
      <c r="C44" s="46"/>
      <c r="D44" s="49"/>
      <c r="E44" s="46"/>
      <c r="F44" s="49"/>
      <c r="G44" s="46"/>
    </row>
    <row r="45" spans="3:7" ht="15" customHeight="1">
      <c r="C45" s="46"/>
      <c r="D45" s="49"/>
      <c r="E45" s="46"/>
      <c r="F45" s="49"/>
      <c r="G45" s="46"/>
    </row>
    <row r="46" spans="3:7" ht="15" customHeight="1">
      <c r="C46" s="46"/>
      <c r="D46" s="49"/>
      <c r="E46" s="46"/>
      <c r="F46" s="49"/>
      <c r="G46" s="46"/>
    </row>
    <row r="47" spans="3:7" ht="15" customHeight="1">
      <c r="C47" s="46"/>
      <c r="D47" s="49"/>
      <c r="E47" s="46"/>
      <c r="F47" s="49"/>
      <c r="G47" s="46"/>
    </row>
    <row r="48" spans="3:7" ht="15" customHeight="1">
      <c r="C48" s="49"/>
      <c r="D48" s="49"/>
      <c r="E48" s="49"/>
      <c r="F48" s="49"/>
      <c r="G48" s="49"/>
    </row>
    <row r="49" spans="3:7" ht="15" customHeight="1">
      <c r="C49" s="46"/>
      <c r="D49" s="49"/>
      <c r="E49" s="46"/>
      <c r="F49" s="49"/>
      <c r="G49" s="46"/>
    </row>
    <row r="50" spans="3:7" ht="15" customHeight="1">
      <c r="C50" s="45"/>
      <c r="D50" s="49"/>
      <c r="E50" s="45"/>
      <c r="F50" s="49"/>
      <c r="G50" s="45"/>
    </row>
    <row r="51" spans="3:7" ht="15" customHeight="1">
      <c r="C51" s="45"/>
      <c r="D51" s="49"/>
      <c r="E51" s="45"/>
      <c r="F51" s="49"/>
      <c r="G51" s="45"/>
    </row>
  </sheetData>
  <sheetProtection/>
  <printOptions/>
  <pageMargins left="0.75" right="0.75" top="1" bottom="1" header="0.5" footer="0.5"/>
  <pageSetup fitToHeight="1" fitToWidth="1" horizontalDpi="600" verticalDpi="600" orientation="portrait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7109375" style="1" customWidth="1"/>
    <col min="2" max="3" width="11.7109375" style="1" customWidth="1"/>
    <col min="4" max="4" width="4.7109375" style="1" customWidth="1"/>
    <col min="5" max="5" width="11.7109375" style="1" customWidth="1"/>
    <col min="6" max="6" width="12.7109375" style="1" customWidth="1"/>
    <col min="7" max="7" width="4.7109375" style="1" customWidth="1"/>
    <col min="8" max="9" width="11.7109375" style="1" customWidth="1"/>
    <col min="10" max="10" width="4.7109375" style="1" customWidth="1"/>
    <col min="11" max="12" width="11.7109375" style="1" customWidth="1"/>
    <col min="13" max="16384" width="9.140625" style="1" customWidth="1"/>
  </cols>
  <sheetData>
    <row r="1" spans="1:11" s="120" customFormat="1" ht="19.5" customHeight="1" thickBot="1">
      <c r="A1" s="122" t="s">
        <v>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9" ht="15" customHeight="1" thickTop="1">
      <c r="A2" s="39"/>
      <c r="I2" s="40"/>
    </row>
    <row r="3" spans="1:11" ht="16.5" customHeight="1">
      <c r="A3" s="39" t="s">
        <v>101</v>
      </c>
      <c r="C3" s="110">
        <v>80</v>
      </c>
      <c r="D3" s="67"/>
      <c r="E3" s="67"/>
      <c r="F3" s="110">
        <v>40</v>
      </c>
      <c r="G3" s="67"/>
      <c r="H3" s="67"/>
      <c r="I3" s="110">
        <v>40</v>
      </c>
      <c r="J3" s="67"/>
      <c r="K3" s="111">
        <f>SUM(C3:I3)</f>
        <v>160</v>
      </c>
    </row>
    <row r="4" spans="1:9" ht="15" customHeight="1">
      <c r="A4" s="39"/>
      <c r="I4" s="40"/>
    </row>
    <row r="5" spans="1:11" ht="15" customHeight="1" thickBot="1">
      <c r="A5" s="41"/>
      <c r="B5" s="41" t="s">
        <v>24</v>
      </c>
      <c r="C5" s="41" t="s">
        <v>0</v>
      </c>
      <c r="D5" s="41"/>
      <c r="E5" s="41" t="s">
        <v>24</v>
      </c>
      <c r="F5" s="41" t="s">
        <v>11</v>
      </c>
      <c r="G5" s="41"/>
      <c r="H5" s="41" t="s">
        <v>24</v>
      </c>
      <c r="I5" s="41" t="s">
        <v>1</v>
      </c>
      <c r="J5" s="41"/>
      <c r="K5" s="41" t="s">
        <v>103</v>
      </c>
    </row>
    <row r="6" spans="1:11" ht="16.5" customHeight="1">
      <c r="A6" s="1" t="s">
        <v>12</v>
      </c>
      <c r="B6" s="42">
        <v>1</v>
      </c>
      <c r="C6" s="43">
        <v>22</v>
      </c>
      <c r="D6" s="44"/>
      <c r="E6" s="42">
        <v>1</v>
      </c>
      <c r="F6" s="43">
        <v>11.7</v>
      </c>
      <c r="H6" s="42">
        <v>0.6</v>
      </c>
      <c r="I6" s="43">
        <v>59.6</v>
      </c>
      <c r="K6" s="112">
        <f aca="true" t="shared" si="0" ref="K6:K15">B6*C6*C$3+E6*F6*F$3+H6*I6*I$3</f>
        <v>3658.3999999999996</v>
      </c>
    </row>
    <row r="7" spans="1:11" ht="16.5" customHeight="1">
      <c r="A7" s="1" t="s">
        <v>14</v>
      </c>
      <c r="B7" s="42">
        <v>1</v>
      </c>
      <c r="C7" s="47">
        <v>4.44</v>
      </c>
      <c r="D7" s="44"/>
      <c r="E7" s="42">
        <v>0.6</v>
      </c>
      <c r="F7" s="47">
        <v>46.5</v>
      </c>
      <c r="H7" s="42">
        <v>0.6</v>
      </c>
      <c r="I7" s="47">
        <v>35.89</v>
      </c>
      <c r="K7" s="112">
        <f t="shared" si="0"/>
        <v>2332.56</v>
      </c>
    </row>
    <row r="8" spans="1:11" ht="16.5" customHeight="1">
      <c r="A8" s="1" t="s">
        <v>91</v>
      </c>
      <c r="B8" s="42">
        <f>2/3</f>
        <v>0.6666666666666666</v>
      </c>
      <c r="C8" s="47">
        <v>7.86</v>
      </c>
      <c r="D8" s="44"/>
      <c r="E8" s="42">
        <v>0.6</v>
      </c>
      <c r="F8" s="47">
        <v>0</v>
      </c>
      <c r="H8" s="42">
        <v>0.6</v>
      </c>
      <c r="I8" s="47">
        <v>20.3</v>
      </c>
      <c r="K8" s="112">
        <f t="shared" si="0"/>
        <v>906.4000000000001</v>
      </c>
    </row>
    <row r="9" spans="1:11" ht="16.5" customHeight="1">
      <c r="A9" s="1" t="s">
        <v>13</v>
      </c>
      <c r="B9" s="42">
        <f>2/3</f>
        <v>0.6666666666666666</v>
      </c>
      <c r="C9" s="47">
        <v>52.14</v>
      </c>
      <c r="D9" s="44"/>
      <c r="E9" s="42">
        <v>0.6</v>
      </c>
      <c r="F9" s="47">
        <v>53.81</v>
      </c>
      <c r="H9" s="42">
        <v>0.6</v>
      </c>
      <c r="I9" s="47">
        <v>21.23</v>
      </c>
      <c r="K9" s="112">
        <f t="shared" si="0"/>
        <v>4581.76</v>
      </c>
    </row>
    <row r="10" spans="1:11" ht="16.5" customHeight="1">
      <c r="A10" s="1" t="s">
        <v>68</v>
      </c>
      <c r="B10" s="42">
        <v>0</v>
      </c>
      <c r="C10" s="47">
        <v>5</v>
      </c>
      <c r="D10" s="44"/>
      <c r="E10" s="42">
        <v>0</v>
      </c>
      <c r="F10" s="47">
        <v>5</v>
      </c>
      <c r="H10" s="42">
        <f>+E10</f>
        <v>0</v>
      </c>
      <c r="I10" s="47">
        <v>5</v>
      </c>
      <c r="K10" s="112">
        <f t="shared" si="0"/>
        <v>0</v>
      </c>
    </row>
    <row r="11" spans="1:11" ht="16.5" customHeight="1">
      <c r="A11" s="1" t="s">
        <v>92</v>
      </c>
      <c r="B11" s="42">
        <f>2/3</f>
        <v>0.6666666666666666</v>
      </c>
      <c r="C11" s="47">
        <v>5.17</v>
      </c>
      <c r="D11" s="44"/>
      <c r="E11" s="42">
        <v>0.6</v>
      </c>
      <c r="F11" s="47">
        <v>7.05</v>
      </c>
      <c r="H11" s="42">
        <v>0.6</v>
      </c>
      <c r="I11" s="47">
        <v>6.26</v>
      </c>
      <c r="K11" s="112">
        <f t="shared" si="0"/>
        <v>595.1733333333333</v>
      </c>
    </row>
    <row r="12" spans="1:11" ht="16.5" customHeight="1">
      <c r="A12" s="1" t="s">
        <v>93</v>
      </c>
      <c r="B12" s="42">
        <v>1</v>
      </c>
      <c r="C12" s="47">
        <v>0</v>
      </c>
      <c r="D12" s="44"/>
      <c r="E12" s="42">
        <v>1</v>
      </c>
      <c r="F12" s="47">
        <v>0</v>
      </c>
      <c r="H12" s="42">
        <f>+E12</f>
        <v>1</v>
      </c>
      <c r="I12" s="47">
        <v>0</v>
      </c>
      <c r="K12" s="112">
        <f t="shared" si="0"/>
        <v>0</v>
      </c>
    </row>
    <row r="13" spans="1:11" ht="16.5" customHeight="1">
      <c r="A13" s="1" t="s">
        <v>94</v>
      </c>
      <c r="B13" s="42">
        <v>1</v>
      </c>
      <c r="C13" s="105">
        <f>'Machinery costs'!B23</f>
        <v>116.68</v>
      </c>
      <c r="D13" s="44"/>
      <c r="E13" s="42">
        <v>1</v>
      </c>
      <c r="F13" s="105">
        <f>'Machinery costs'!E23</f>
        <v>102.16</v>
      </c>
      <c r="H13" s="42">
        <f>+E13</f>
        <v>1</v>
      </c>
      <c r="I13" s="105">
        <f>'Machinery costs'!H23</f>
        <v>83.57</v>
      </c>
      <c r="K13" s="112">
        <f t="shared" si="0"/>
        <v>16763.600000000002</v>
      </c>
    </row>
    <row r="14" spans="1:11" ht="16.5" customHeight="1">
      <c r="A14" s="1" t="s">
        <v>95</v>
      </c>
      <c r="B14" s="42">
        <v>1</v>
      </c>
      <c r="C14" s="47">
        <v>15</v>
      </c>
      <c r="D14" s="44"/>
      <c r="E14" s="42">
        <v>1</v>
      </c>
      <c r="F14" s="47">
        <v>15</v>
      </c>
      <c r="H14" s="42">
        <f>+E14</f>
        <v>1</v>
      </c>
      <c r="I14" s="47">
        <v>15</v>
      </c>
      <c r="K14" s="112">
        <f t="shared" si="0"/>
        <v>2400</v>
      </c>
    </row>
    <row r="15" spans="1:11" ht="16.5" customHeight="1">
      <c r="A15" s="76" t="s">
        <v>65</v>
      </c>
      <c r="B15" s="106">
        <v>1</v>
      </c>
      <c r="C15" s="107">
        <v>6.5</v>
      </c>
      <c r="D15" s="108"/>
      <c r="E15" s="106">
        <v>1</v>
      </c>
      <c r="F15" s="107">
        <v>6.5</v>
      </c>
      <c r="G15" s="76"/>
      <c r="H15" s="106">
        <f>+E15</f>
        <v>1</v>
      </c>
      <c r="I15" s="107">
        <v>6.5</v>
      </c>
      <c r="J15" s="76"/>
      <c r="K15" s="112">
        <f t="shared" si="0"/>
        <v>1040</v>
      </c>
    </row>
    <row r="16" spans="1:11" ht="16.5" customHeight="1">
      <c r="A16" s="1" t="s">
        <v>25</v>
      </c>
      <c r="C16" s="48">
        <f>SUMPRODUCT(C6:C15,B6:B15)</f>
        <v>208.06666666666666</v>
      </c>
      <c r="D16" s="48"/>
      <c r="F16" s="48">
        <f>SUMPRODUCT(F6:F15,E6:E15)</f>
        <v>199.776</v>
      </c>
      <c r="I16" s="48">
        <f>SUMPRODUCT(I6:I15,H6:H15)</f>
        <v>191.03799999999998</v>
      </c>
      <c r="K16" s="113">
        <f>SUM(K6:K15)</f>
        <v>32277.893333333333</v>
      </c>
    </row>
    <row r="18" spans="1:11" ht="16.5" customHeight="1">
      <c r="A18" s="1" t="s">
        <v>18</v>
      </c>
      <c r="B18" s="42">
        <v>0.6666666666666666</v>
      </c>
      <c r="C18" s="50">
        <v>54</v>
      </c>
      <c r="D18" s="44"/>
      <c r="E18" s="42">
        <v>0.6</v>
      </c>
      <c r="F18" s="50">
        <v>88</v>
      </c>
      <c r="H18" s="42">
        <f>+E18</f>
        <v>0.6</v>
      </c>
      <c r="I18" s="50">
        <v>36</v>
      </c>
      <c r="K18" s="55" t="s">
        <v>102</v>
      </c>
    </row>
    <row r="19" spans="1:11" ht="16.5" customHeight="1">
      <c r="A19" s="1" t="s">
        <v>19</v>
      </c>
      <c r="B19" s="42">
        <v>1</v>
      </c>
      <c r="C19" s="43">
        <v>3.55</v>
      </c>
      <c r="D19" s="44"/>
      <c r="E19" s="42">
        <v>1</v>
      </c>
      <c r="F19" s="43">
        <v>3.45</v>
      </c>
      <c r="H19" s="42">
        <f>+E19</f>
        <v>1</v>
      </c>
      <c r="I19" s="43">
        <v>10.4</v>
      </c>
      <c r="K19" s="55" t="s">
        <v>102</v>
      </c>
    </row>
    <row r="20" spans="1:11" ht="16.5" customHeight="1">
      <c r="A20" s="76" t="s">
        <v>20</v>
      </c>
      <c r="B20" s="108">
        <f>+B18</f>
        <v>0.6666666666666666</v>
      </c>
      <c r="C20" s="109">
        <v>6</v>
      </c>
      <c r="D20" s="108"/>
      <c r="E20" s="108">
        <f>+E18</f>
        <v>0.6</v>
      </c>
      <c r="F20" s="109">
        <v>7</v>
      </c>
      <c r="G20" s="76"/>
      <c r="H20" s="108">
        <f>+E20</f>
        <v>0.6</v>
      </c>
      <c r="I20" s="109">
        <v>0</v>
      </c>
      <c r="J20" s="76"/>
      <c r="K20" s="112">
        <f>B20*C20*C$3+E20*F20*F$3+H20*I20*I$3</f>
        <v>488</v>
      </c>
    </row>
    <row r="21" spans="1:11" ht="16.5" customHeight="1">
      <c r="A21" s="1" t="s">
        <v>26</v>
      </c>
      <c r="C21" s="38">
        <f>+C18*B18*C19+C20*B20</f>
        <v>131.8</v>
      </c>
      <c r="F21" s="38">
        <f>+F18*E18*F19+F20*E20</f>
        <v>186.35999999999999</v>
      </c>
      <c r="I21" s="38">
        <f>+I18*H18*I19+I20*H20</f>
        <v>224.64</v>
      </c>
      <c r="K21" s="114">
        <f>SUMPRODUCT(C$3:I$3,C21:I21)</f>
        <v>26984</v>
      </c>
    </row>
    <row r="23" spans="1:11" ht="16.5" customHeight="1">
      <c r="A23" s="1" t="s">
        <v>58</v>
      </c>
      <c r="C23" s="38">
        <f>+C21-C16</f>
        <v>-76.26666666666665</v>
      </c>
      <c r="F23" s="38">
        <f>+F21-F16</f>
        <v>-13.416000000000025</v>
      </c>
      <c r="I23" s="38">
        <f>+I21-I16</f>
        <v>33.602000000000004</v>
      </c>
      <c r="K23" s="115">
        <f>SUMPRODUCT(C$3:I$3,C23:I23)</f>
        <v>-5293.893333333333</v>
      </c>
    </row>
    <row r="24" spans="1:11" ht="16.5" customHeight="1">
      <c r="A24" s="1" t="s">
        <v>21</v>
      </c>
      <c r="C24" s="51">
        <f>(C16-C20*B20)/C19/B18</f>
        <v>86.22535211267606</v>
      </c>
      <c r="F24" s="51">
        <f>(F16-F20*E20)/F19/E18</f>
        <v>94.48115942028987</v>
      </c>
      <c r="I24" s="51">
        <f>(I16-I20*H20)/I19/H18</f>
        <v>30.615064102564098</v>
      </c>
      <c r="K24" s="58" t="s">
        <v>102</v>
      </c>
    </row>
    <row r="25" spans="1:11" ht="16.5" customHeight="1" thickBot="1">
      <c r="A25" s="10" t="s">
        <v>22</v>
      </c>
      <c r="B25" s="10"/>
      <c r="C25" s="27">
        <f>(C16-C20*B20)/(C18*B18)</f>
        <v>5.6685185185185185</v>
      </c>
      <c r="D25" s="10"/>
      <c r="E25" s="10"/>
      <c r="F25" s="27">
        <f>(F16-F20*E20)/(F18*E18)</f>
        <v>3.7040909090909095</v>
      </c>
      <c r="G25" s="10"/>
      <c r="H25" s="10"/>
      <c r="I25" s="27">
        <f>(I16-I20*H20)/(I18*H18)</f>
        <v>8.844351851851853</v>
      </c>
      <c r="J25" s="10"/>
      <c r="K25" s="58" t="s">
        <v>102</v>
      </c>
    </row>
    <row r="26" spans="1:11" s="120" customFormat="1" ht="19.5" customHeight="1" thickBot="1" thickTop="1">
      <c r="A26" s="116" t="s">
        <v>66</v>
      </c>
      <c r="B26" s="117"/>
      <c r="C26" s="118">
        <f>C18*C19+C20-SUM(C6:C15)</f>
        <v>-37.09000000000003</v>
      </c>
      <c r="D26" s="117"/>
      <c r="E26" s="117"/>
      <c r="F26" s="118">
        <f>F18*F19+F20-SUM(F6:F15)</f>
        <v>62.880000000000024</v>
      </c>
      <c r="G26" s="117"/>
      <c r="H26" s="117"/>
      <c r="I26" s="118">
        <f>I18*I19+I20-SUM(I6:I15)</f>
        <v>121.05000000000004</v>
      </c>
      <c r="J26" s="117"/>
      <c r="K26" s="119">
        <f>C26*C3+F26*F3+I26*I3</f>
        <v>4390</v>
      </c>
    </row>
    <row r="27" spans="1:11" ht="15" customHeight="1">
      <c r="A27" s="121" t="s">
        <v>104</v>
      </c>
      <c r="K27" s="38"/>
    </row>
    <row r="29" spans="3:10" ht="15" customHeight="1">
      <c r="C29" s="45"/>
      <c r="D29" s="49"/>
      <c r="E29" s="45"/>
      <c r="F29" s="49"/>
      <c r="G29" s="45"/>
      <c r="J29" s="45"/>
    </row>
    <row r="30" spans="3:10" ht="15" customHeight="1">
      <c r="C30" s="46"/>
      <c r="D30" s="49"/>
      <c r="E30" s="46"/>
      <c r="F30" s="49"/>
      <c r="G30" s="46"/>
      <c r="J30" s="46"/>
    </row>
    <row r="31" spans="3:10" ht="15" customHeight="1">
      <c r="C31" s="46"/>
      <c r="D31" s="49"/>
      <c r="E31" s="46"/>
      <c r="F31" s="49"/>
      <c r="G31" s="46"/>
      <c r="J31" s="46"/>
    </row>
    <row r="32" spans="3:10" ht="15" customHeight="1">
      <c r="C32" s="46"/>
      <c r="D32" s="49"/>
      <c r="E32" s="46"/>
      <c r="F32" s="49"/>
      <c r="G32" s="46"/>
      <c r="J32" s="46"/>
    </row>
    <row r="33" spans="3:10" ht="15" customHeight="1">
      <c r="C33" s="46"/>
      <c r="D33" s="49"/>
      <c r="E33" s="46"/>
      <c r="F33" s="49"/>
      <c r="G33" s="46"/>
      <c r="J33" s="46"/>
    </row>
    <row r="34" spans="3:10" ht="15" customHeight="1">
      <c r="C34" s="46"/>
      <c r="D34" s="49"/>
      <c r="E34" s="46"/>
      <c r="F34" s="49"/>
      <c r="G34" s="46"/>
      <c r="J34" s="46"/>
    </row>
    <row r="35" spans="3:10" ht="15" customHeight="1">
      <c r="C35" s="46"/>
      <c r="D35" s="49"/>
      <c r="E35" s="46"/>
      <c r="F35" s="49"/>
      <c r="G35" s="46"/>
      <c r="J35" s="46"/>
    </row>
    <row r="36" spans="3:10" ht="15" customHeight="1">
      <c r="C36" s="46"/>
      <c r="D36" s="49"/>
      <c r="E36" s="46"/>
      <c r="F36" s="49"/>
      <c r="G36" s="46"/>
      <c r="J36" s="46"/>
    </row>
    <row r="37" spans="3:10" ht="15" customHeight="1">
      <c r="C37" s="46"/>
      <c r="D37" s="49"/>
      <c r="E37" s="46"/>
      <c r="F37" s="49"/>
      <c r="G37" s="46"/>
      <c r="J37" s="46"/>
    </row>
    <row r="38" spans="3:10" ht="15" customHeight="1">
      <c r="C38" s="46"/>
      <c r="D38" s="49"/>
      <c r="E38" s="46"/>
      <c r="F38" s="49"/>
      <c r="G38" s="46"/>
      <c r="J38" s="46"/>
    </row>
    <row r="39" spans="3:10" ht="15" customHeight="1">
      <c r="C39" s="49"/>
      <c r="D39" s="49"/>
      <c r="E39" s="49"/>
      <c r="F39" s="49"/>
      <c r="G39" s="49"/>
      <c r="J39" s="49"/>
    </row>
    <row r="40" spans="3:10" ht="15" customHeight="1">
      <c r="C40" s="46"/>
      <c r="D40" s="49"/>
      <c r="E40" s="46"/>
      <c r="F40" s="49"/>
      <c r="G40" s="46"/>
      <c r="J40" s="46"/>
    </row>
    <row r="41" spans="3:10" ht="15" customHeight="1">
      <c r="C41" s="45"/>
      <c r="D41" s="49"/>
      <c r="E41" s="45"/>
      <c r="F41" s="49"/>
      <c r="G41" s="45"/>
      <c r="J41" s="45"/>
    </row>
    <row r="42" spans="3:10" ht="15" customHeight="1">
      <c r="C42" s="45"/>
      <c r="D42" s="49"/>
      <c r="E42" s="45"/>
      <c r="F42" s="49"/>
      <c r="G42" s="45"/>
      <c r="J42" s="45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5"/>
  <sheetViews>
    <sheetView zoomScalePageLayoutView="0" workbookViewId="0" topLeftCell="A1">
      <selection activeCell="A1" sqref="A1"/>
    </sheetView>
  </sheetViews>
  <sheetFormatPr defaultColWidth="10.7109375" defaultRowHeight="15.75" customHeight="1"/>
  <cols>
    <col min="1" max="1" width="14.7109375" style="1" customWidth="1"/>
    <col min="2" max="4" width="12.7109375" style="1" customWidth="1"/>
    <col min="5" max="5" width="3.7109375" style="1" customWidth="1"/>
    <col min="6" max="7" width="12.7109375" style="1" customWidth="1"/>
    <col min="8" max="8" width="9.7109375" style="2" customWidth="1"/>
    <col min="9" max="9" width="3.7109375" style="1" customWidth="1"/>
    <col min="10" max="11" width="12.7109375" style="1" customWidth="1"/>
    <col min="12" max="16384" width="10.7109375" style="1" customWidth="1"/>
  </cols>
  <sheetData>
    <row r="1" spans="1:8" s="120" customFormat="1" ht="19.5" customHeight="1">
      <c r="A1" s="124" t="s">
        <v>63</v>
      </c>
      <c r="H1" s="125"/>
    </row>
    <row r="2" ht="15.75" customHeight="1" thickBot="1"/>
    <row r="3" spans="1:11" ht="15.75" customHeight="1">
      <c r="A3" s="3" t="s">
        <v>50</v>
      </c>
      <c r="B3" s="4"/>
      <c r="C3" s="5">
        <v>150000</v>
      </c>
      <c r="D3" s="4"/>
      <c r="E3" s="4"/>
      <c r="F3" s="4"/>
      <c r="G3" s="6" t="s">
        <v>53</v>
      </c>
      <c r="H3" s="7"/>
      <c r="I3" s="4"/>
      <c r="J3" s="4"/>
      <c r="K3" s="8"/>
    </row>
    <row r="4" spans="1:11" ht="15.75" customHeight="1">
      <c r="A4" s="9" t="s">
        <v>52</v>
      </c>
      <c r="B4" s="10"/>
      <c r="C4" s="11">
        <v>0.0625</v>
      </c>
      <c r="D4" s="10"/>
      <c r="E4" s="10"/>
      <c r="F4" s="10"/>
      <c r="G4" s="12">
        <f>-PMT(C4,C5,C3)</f>
        <v>35851.98104670048</v>
      </c>
      <c r="H4" s="10"/>
      <c r="I4" s="10"/>
      <c r="J4" s="10"/>
      <c r="K4" s="13"/>
    </row>
    <row r="5" spans="1:11" ht="15.75" customHeight="1" thickBot="1">
      <c r="A5" s="14" t="s">
        <v>51</v>
      </c>
      <c r="B5" s="15"/>
      <c r="C5" s="16">
        <v>5</v>
      </c>
      <c r="D5" s="15"/>
      <c r="E5" s="15"/>
      <c r="F5" s="15"/>
      <c r="G5" s="15"/>
      <c r="H5" s="17"/>
      <c r="I5" s="15"/>
      <c r="J5" s="15"/>
      <c r="K5" s="18"/>
    </row>
    <row r="6" ht="15.75" customHeight="1" thickBot="1"/>
    <row r="7" spans="1:11" ht="15.75" customHeight="1">
      <c r="A7" s="3"/>
      <c r="B7" s="4"/>
      <c r="C7" s="4"/>
      <c r="D7" s="4"/>
      <c r="E7" s="4"/>
      <c r="F7" s="4"/>
      <c r="G7" s="4"/>
      <c r="H7" s="7"/>
      <c r="I7" s="4"/>
      <c r="J7" s="4"/>
      <c r="K7" s="8"/>
    </row>
    <row r="8" spans="1:11" ht="15.75" customHeight="1">
      <c r="A8" s="9"/>
      <c r="B8" s="19" t="s">
        <v>7</v>
      </c>
      <c r="C8" s="19"/>
      <c r="D8" s="19"/>
      <c r="E8" s="10"/>
      <c r="F8" s="19" t="s">
        <v>8</v>
      </c>
      <c r="G8" s="19"/>
      <c r="H8" s="20"/>
      <c r="I8" s="10"/>
      <c r="J8" s="19" t="s">
        <v>9</v>
      </c>
      <c r="K8" s="21"/>
    </row>
    <row r="9" spans="1:11" ht="15.75" customHeight="1">
      <c r="A9" s="9"/>
      <c r="B9" s="22" t="s">
        <v>2</v>
      </c>
      <c r="C9" s="22" t="s">
        <v>4</v>
      </c>
      <c r="D9" s="22" t="s">
        <v>5</v>
      </c>
      <c r="E9" s="10"/>
      <c r="F9" s="22" t="s">
        <v>2</v>
      </c>
      <c r="G9" s="22" t="s">
        <v>3</v>
      </c>
      <c r="H9" s="23" t="s">
        <v>10</v>
      </c>
      <c r="I9" s="10"/>
      <c r="J9" s="22" t="s">
        <v>2</v>
      </c>
      <c r="K9" s="24" t="s">
        <v>5</v>
      </c>
    </row>
    <row r="10" spans="1:11" ht="15.75" customHeight="1">
      <c r="A10" s="9" t="s">
        <v>56</v>
      </c>
      <c r="B10" s="25">
        <v>33</v>
      </c>
      <c r="C10" s="26">
        <f>D23</f>
        <v>1289.6</v>
      </c>
      <c r="D10" s="27">
        <f>+B10*C10</f>
        <v>42556.799999999996</v>
      </c>
      <c r="E10" s="10"/>
      <c r="F10" s="25">
        <v>12</v>
      </c>
      <c r="G10" s="27">
        <f>F10*C10</f>
        <v>15475.199999999999</v>
      </c>
      <c r="H10" s="28">
        <f>G10/G$16</f>
        <v>0.42956597048732553</v>
      </c>
      <c r="I10" s="10"/>
      <c r="J10" s="29">
        <f>+B10-F10</f>
        <v>21</v>
      </c>
      <c r="K10" s="30">
        <f>+D10-G10</f>
        <v>27081.6</v>
      </c>
    </row>
    <row r="11" spans="1:11" ht="15.75" customHeight="1">
      <c r="A11" s="9"/>
      <c r="B11" s="31"/>
      <c r="C11" s="32"/>
      <c r="D11" s="27"/>
      <c r="E11" s="10"/>
      <c r="F11" s="31"/>
      <c r="G11" s="10"/>
      <c r="H11" s="28"/>
      <c r="I11" s="10"/>
      <c r="J11" s="29"/>
      <c r="K11" s="13"/>
    </row>
    <row r="12" spans="1:11" ht="15.75" customHeight="1">
      <c r="A12" s="9" t="s">
        <v>55</v>
      </c>
      <c r="B12" s="25">
        <v>8500</v>
      </c>
      <c r="C12" s="33">
        <v>5.1</v>
      </c>
      <c r="D12" s="27">
        <f>+B12*C12</f>
        <v>43350</v>
      </c>
      <c r="E12" s="10"/>
      <c r="F12" s="25">
        <v>2000</v>
      </c>
      <c r="G12" s="27">
        <f>F12*C12</f>
        <v>10200</v>
      </c>
      <c r="H12" s="28">
        <f>G12/G$16</f>
        <v>0.283135138736218</v>
      </c>
      <c r="I12" s="10"/>
      <c r="J12" s="29">
        <f>+B12-F12</f>
        <v>6500</v>
      </c>
      <c r="K12" s="30">
        <f>+D12-G12</f>
        <v>33150</v>
      </c>
    </row>
    <row r="13" spans="1:11" ht="15.75" customHeight="1">
      <c r="A13" s="9"/>
      <c r="B13" s="31"/>
      <c r="C13" s="32"/>
      <c r="D13" s="27"/>
      <c r="E13" s="10"/>
      <c r="F13" s="31"/>
      <c r="G13" s="10"/>
      <c r="H13" s="28"/>
      <c r="I13" s="10"/>
      <c r="J13" s="29"/>
      <c r="K13" s="13"/>
    </row>
    <row r="14" spans="1:11" ht="15.75" customHeight="1">
      <c r="A14" s="9" t="s">
        <v>54</v>
      </c>
      <c r="B14" s="25">
        <v>13000</v>
      </c>
      <c r="C14" s="33">
        <v>3.45</v>
      </c>
      <c r="D14" s="27">
        <f>+B14*C14</f>
        <v>44850</v>
      </c>
      <c r="E14" s="10"/>
      <c r="F14" s="25">
        <v>3000</v>
      </c>
      <c r="G14" s="27">
        <f>F14*C14</f>
        <v>10350</v>
      </c>
      <c r="H14" s="28">
        <f>G14/G$16</f>
        <v>0.2872988907764565</v>
      </c>
      <c r="I14" s="10"/>
      <c r="J14" s="29">
        <f>+B14-F14</f>
        <v>10000</v>
      </c>
      <c r="K14" s="30">
        <f>+D14-G14</f>
        <v>34500</v>
      </c>
    </row>
    <row r="15" spans="1:11" ht="15.75" customHeight="1">
      <c r="A15" s="9"/>
      <c r="B15" s="10"/>
      <c r="C15" s="10"/>
      <c r="D15" s="27"/>
      <c r="E15" s="10"/>
      <c r="F15" s="10"/>
      <c r="G15" s="10"/>
      <c r="H15" s="28"/>
      <c r="I15" s="10"/>
      <c r="J15" s="10"/>
      <c r="K15" s="13"/>
    </row>
    <row r="16" spans="1:11" ht="15.75" customHeight="1">
      <c r="A16" s="9" t="s">
        <v>6</v>
      </c>
      <c r="B16" s="10"/>
      <c r="C16" s="10"/>
      <c r="D16" s="34">
        <f>SUM(D10:D14)</f>
        <v>130756.79999999999</v>
      </c>
      <c r="E16" s="10"/>
      <c r="F16" s="10"/>
      <c r="G16" s="34">
        <f>SUM(G10:G14)</f>
        <v>36025.2</v>
      </c>
      <c r="H16" s="35">
        <f>G16/G$16</f>
        <v>1</v>
      </c>
      <c r="I16" s="10"/>
      <c r="J16" s="10"/>
      <c r="K16" s="36">
        <f>SUM(K10:K14)</f>
        <v>94731.6</v>
      </c>
    </row>
    <row r="17" spans="1:11" ht="15.75" customHeight="1" thickBot="1">
      <c r="A17" s="14"/>
      <c r="B17" s="15"/>
      <c r="C17" s="15"/>
      <c r="D17" s="15"/>
      <c r="E17" s="15"/>
      <c r="F17" s="15"/>
      <c r="G17" s="15"/>
      <c r="H17" s="17"/>
      <c r="I17" s="15"/>
      <c r="J17" s="15"/>
      <c r="K17" s="18"/>
    </row>
    <row r="18" ht="15.75" customHeight="1">
      <c r="A18" s="1" t="s">
        <v>67</v>
      </c>
    </row>
    <row r="19" ht="15.75" customHeight="1">
      <c r="A19" s="1" t="s">
        <v>57</v>
      </c>
    </row>
    <row r="21" ht="15.75" customHeight="1">
      <c r="A21" s="1" t="s">
        <v>64</v>
      </c>
    </row>
    <row r="22" spans="2:4" ht="15.75" customHeight="1">
      <c r="B22" s="37" t="s">
        <v>60</v>
      </c>
      <c r="C22" s="37" t="s">
        <v>61</v>
      </c>
      <c r="D22" s="37" t="s">
        <v>62</v>
      </c>
    </row>
    <row r="23" spans="1:7" ht="15.75" customHeight="1">
      <c r="A23" s="1" t="s">
        <v>59</v>
      </c>
      <c r="B23" s="25">
        <v>620</v>
      </c>
      <c r="C23" s="33">
        <v>208</v>
      </c>
      <c r="D23" s="27">
        <f>+B23*C23/100</f>
        <v>1289.6</v>
      </c>
      <c r="G23" s="38"/>
    </row>
    <row r="24" ht="15.75" customHeight="1" thickBot="1"/>
    <row r="25" spans="1:4" ht="15.75" customHeight="1" thickBot="1">
      <c r="A25" s="1" t="s">
        <v>105</v>
      </c>
      <c r="D25" s="241">
        <f>G16-G4</f>
        <v>173.21895329951803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24"/>
  <sheetViews>
    <sheetView zoomScalePageLayoutView="0" workbookViewId="0" topLeftCell="A1">
      <selection activeCell="A1" sqref="A1"/>
    </sheetView>
  </sheetViews>
  <sheetFormatPr defaultColWidth="9.7109375" defaultRowHeight="16.5" customHeight="1"/>
  <cols>
    <col min="1" max="12" width="10.7109375" style="1" customWidth="1"/>
    <col min="13" max="13" width="9.140625" style="1" customWidth="1"/>
    <col min="14" max="19" width="10.7109375" style="1" customWidth="1"/>
    <col min="20" max="16384" width="9.7109375" style="1" customWidth="1"/>
  </cols>
  <sheetData>
    <row r="1" spans="1:12" s="120" customFormat="1" ht="19.5" customHeight="1" thickBot="1">
      <c r="A1" s="122" t="s">
        <v>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ht="16.5" customHeight="1" thickTop="1"/>
    <row r="3" spans="1:5" ht="16.5" customHeight="1">
      <c r="A3" s="1" t="s">
        <v>30</v>
      </c>
      <c r="C3" s="53">
        <v>42658</v>
      </c>
      <c r="D3" s="54"/>
      <c r="E3" s="54"/>
    </row>
    <row r="4" spans="3:12" ht="16.5" customHeight="1">
      <c r="C4" s="54"/>
      <c r="D4" s="54"/>
      <c r="E4" s="54"/>
      <c r="L4" s="55" t="s">
        <v>100</v>
      </c>
    </row>
    <row r="5" spans="1:16" ht="16.5" customHeight="1">
      <c r="A5" s="55"/>
      <c r="B5" s="56" t="s">
        <v>33</v>
      </c>
      <c r="C5" s="55" t="s">
        <v>31</v>
      </c>
      <c r="D5" s="55" t="s">
        <v>36</v>
      </c>
      <c r="E5" s="55" t="s">
        <v>37</v>
      </c>
      <c r="F5" s="55" t="s">
        <v>35</v>
      </c>
      <c r="G5" s="55" t="s">
        <v>28</v>
      </c>
      <c r="I5" s="50">
        <v>205</v>
      </c>
      <c r="K5" s="55" t="s">
        <v>100</v>
      </c>
      <c r="L5" s="55" t="s">
        <v>45</v>
      </c>
      <c r="N5" s="55" t="s">
        <v>37</v>
      </c>
      <c r="O5" s="55"/>
      <c r="P5" s="55"/>
    </row>
    <row r="6" spans="1:16" ht="16.5" customHeight="1" thickBot="1">
      <c r="A6" s="57" t="s">
        <v>27</v>
      </c>
      <c r="B6" s="57" t="s">
        <v>34</v>
      </c>
      <c r="C6" s="41" t="s">
        <v>32</v>
      </c>
      <c r="D6" s="41" t="s">
        <v>41</v>
      </c>
      <c r="E6" s="41" t="s">
        <v>38</v>
      </c>
      <c r="F6" s="41" t="s">
        <v>32</v>
      </c>
      <c r="G6" s="41" t="s">
        <v>29</v>
      </c>
      <c r="H6" s="41" t="s">
        <v>42</v>
      </c>
      <c r="I6" s="41" t="s">
        <v>43</v>
      </c>
      <c r="J6" s="41" t="s">
        <v>44</v>
      </c>
      <c r="K6" s="41" t="s">
        <v>45</v>
      </c>
      <c r="L6" s="41" t="s">
        <v>96</v>
      </c>
      <c r="M6" s="58"/>
      <c r="N6" s="55" t="s">
        <v>38</v>
      </c>
      <c r="O6" s="55" t="s">
        <v>40</v>
      </c>
      <c r="P6" s="55" t="s">
        <v>39</v>
      </c>
    </row>
    <row r="7" spans="1:16" ht="19.5" customHeight="1">
      <c r="A7" s="59" t="s">
        <v>199</v>
      </c>
      <c r="B7" s="60">
        <v>42419</v>
      </c>
      <c r="C7" s="127">
        <v>93</v>
      </c>
      <c r="D7" s="127">
        <v>1</v>
      </c>
      <c r="E7" s="127">
        <v>6</v>
      </c>
      <c r="F7" s="127">
        <v>610</v>
      </c>
      <c r="G7" s="126">
        <f aca="true" t="shared" si="0" ref="G7:G16">C$3-B7</f>
        <v>239</v>
      </c>
      <c r="H7" s="128">
        <f aca="true" t="shared" si="1" ref="H7:H16">(F7-C7)/G7</f>
        <v>2.1631799163179917</v>
      </c>
      <c r="I7" s="126">
        <f>+H7*I$5+C7</f>
        <v>536.4518828451883</v>
      </c>
      <c r="J7" s="129">
        <f aca="true" t="shared" si="2" ref="J7:J16">VLOOKUP(E7,dam_adj,IF(D7=1,2,3))</f>
        <v>0</v>
      </c>
      <c r="K7" s="126">
        <f>+I7+J7</f>
        <v>536.4518828451883</v>
      </c>
      <c r="L7" s="130">
        <f>K7/IF(D7=1,K$23,K$24)</f>
        <v>0.9586775351680984</v>
      </c>
      <c r="M7" s="61"/>
      <c r="N7" s="139">
        <v>2</v>
      </c>
      <c r="O7" s="140">
        <v>60</v>
      </c>
      <c r="P7" s="141">
        <v>54</v>
      </c>
    </row>
    <row r="8" spans="1:16" ht="19.5" customHeight="1">
      <c r="A8" s="59" t="s">
        <v>200</v>
      </c>
      <c r="B8" s="60">
        <v>42447</v>
      </c>
      <c r="C8" s="127">
        <v>78</v>
      </c>
      <c r="D8" s="127">
        <v>1</v>
      </c>
      <c r="E8" s="127">
        <v>2</v>
      </c>
      <c r="F8" s="127">
        <v>575</v>
      </c>
      <c r="G8" s="126">
        <f t="shared" si="0"/>
        <v>211</v>
      </c>
      <c r="H8" s="128">
        <f t="shared" si="1"/>
        <v>2.3554502369668247</v>
      </c>
      <c r="I8" s="126">
        <f aca="true" t="shared" si="3" ref="I8:I16">+H8*I$5+C8</f>
        <v>560.8672985781991</v>
      </c>
      <c r="J8" s="129">
        <f t="shared" si="2"/>
        <v>60</v>
      </c>
      <c r="K8" s="126">
        <f aca="true" t="shared" si="4" ref="K8:K16">+I8+J8</f>
        <v>620.8672985781991</v>
      </c>
      <c r="L8" s="131">
        <f aca="true" t="shared" si="5" ref="L8:L15">K8/IF(D8=1,K$23,K$24)</f>
        <v>1.1095338659463565</v>
      </c>
      <c r="M8" s="61"/>
      <c r="N8" s="142">
        <v>3</v>
      </c>
      <c r="O8" s="143">
        <v>40</v>
      </c>
      <c r="P8" s="144">
        <v>36</v>
      </c>
    </row>
    <row r="9" spans="1:16" ht="19.5" customHeight="1">
      <c r="A9" s="62" t="s">
        <v>201</v>
      </c>
      <c r="B9" s="60">
        <v>42447</v>
      </c>
      <c r="C9" s="127">
        <v>81</v>
      </c>
      <c r="D9" s="127">
        <v>0</v>
      </c>
      <c r="E9" s="127">
        <v>2</v>
      </c>
      <c r="F9" s="127">
        <v>540</v>
      </c>
      <c r="G9" s="126">
        <f t="shared" si="0"/>
        <v>211</v>
      </c>
      <c r="H9" s="128">
        <f t="shared" si="1"/>
        <v>2.175355450236967</v>
      </c>
      <c r="I9" s="126">
        <f t="shared" si="3"/>
        <v>526.9478672985782</v>
      </c>
      <c r="J9" s="129">
        <f t="shared" si="2"/>
        <v>54</v>
      </c>
      <c r="K9" s="126">
        <f t="shared" si="4"/>
        <v>580.9478672985782</v>
      </c>
      <c r="L9" s="131">
        <f t="shared" si="5"/>
        <v>1.043423921134366</v>
      </c>
      <c r="M9" s="61"/>
      <c r="N9" s="142">
        <v>4</v>
      </c>
      <c r="O9" s="143">
        <v>20</v>
      </c>
      <c r="P9" s="144">
        <v>18</v>
      </c>
    </row>
    <row r="10" spans="1:16" ht="19.5" customHeight="1">
      <c r="A10" s="62" t="s">
        <v>202</v>
      </c>
      <c r="B10" s="60">
        <v>42453</v>
      </c>
      <c r="C10" s="127">
        <v>85</v>
      </c>
      <c r="D10" s="127">
        <v>1</v>
      </c>
      <c r="E10" s="127">
        <v>5</v>
      </c>
      <c r="F10" s="127">
        <v>585</v>
      </c>
      <c r="G10" s="126">
        <f t="shared" si="0"/>
        <v>205</v>
      </c>
      <c r="H10" s="128">
        <f t="shared" si="1"/>
        <v>2.4390243902439024</v>
      </c>
      <c r="I10" s="126">
        <f t="shared" si="3"/>
        <v>585</v>
      </c>
      <c r="J10" s="129">
        <f t="shared" si="2"/>
        <v>0</v>
      </c>
      <c r="K10" s="126">
        <f t="shared" si="4"/>
        <v>585</v>
      </c>
      <c r="L10" s="131">
        <f t="shared" si="5"/>
        <v>1.0454364613259888</v>
      </c>
      <c r="M10" s="61"/>
      <c r="N10" s="142">
        <v>5</v>
      </c>
      <c r="O10" s="143">
        <v>0</v>
      </c>
      <c r="P10" s="144">
        <v>0</v>
      </c>
    </row>
    <row r="11" spans="1:16" ht="19.5" customHeight="1">
      <c r="A11" s="62" t="s">
        <v>203</v>
      </c>
      <c r="B11" s="60">
        <v>42458</v>
      </c>
      <c r="C11" s="127">
        <v>68</v>
      </c>
      <c r="D11" s="127">
        <v>0</v>
      </c>
      <c r="E11" s="127">
        <v>7</v>
      </c>
      <c r="F11" s="127">
        <v>510</v>
      </c>
      <c r="G11" s="126">
        <f t="shared" si="0"/>
        <v>200</v>
      </c>
      <c r="H11" s="128">
        <f t="shared" si="1"/>
        <v>2.21</v>
      </c>
      <c r="I11" s="126">
        <f t="shared" si="3"/>
        <v>521.05</v>
      </c>
      <c r="J11" s="129">
        <f t="shared" si="2"/>
        <v>0</v>
      </c>
      <c r="K11" s="126">
        <f t="shared" si="4"/>
        <v>521.05</v>
      </c>
      <c r="L11" s="131">
        <f t="shared" si="5"/>
        <v>0.9358430673567462</v>
      </c>
      <c r="M11" s="61"/>
      <c r="N11" s="142">
        <v>6</v>
      </c>
      <c r="O11" s="143">
        <v>0</v>
      </c>
      <c r="P11" s="144">
        <v>0</v>
      </c>
    </row>
    <row r="12" spans="1:16" ht="19.5" customHeight="1">
      <c r="A12" s="62" t="s">
        <v>204</v>
      </c>
      <c r="B12" s="60">
        <v>42462</v>
      </c>
      <c r="C12" s="127">
        <v>74</v>
      </c>
      <c r="D12" s="127">
        <v>0</v>
      </c>
      <c r="E12" s="127">
        <v>4</v>
      </c>
      <c r="F12" s="127">
        <v>505</v>
      </c>
      <c r="G12" s="126">
        <f t="shared" si="0"/>
        <v>196</v>
      </c>
      <c r="H12" s="128">
        <f t="shared" si="1"/>
        <v>2.1989795918367347</v>
      </c>
      <c r="I12" s="126">
        <f t="shared" si="3"/>
        <v>524.7908163265306</v>
      </c>
      <c r="J12" s="129">
        <f t="shared" si="2"/>
        <v>18</v>
      </c>
      <c r="K12" s="126">
        <f t="shared" si="4"/>
        <v>542.7908163265306</v>
      </c>
      <c r="L12" s="131">
        <f t="shared" si="5"/>
        <v>0.9748911284600186</v>
      </c>
      <c r="M12" s="61"/>
      <c r="N12" s="142">
        <v>7</v>
      </c>
      <c r="O12" s="143">
        <v>0</v>
      </c>
      <c r="P12" s="144">
        <v>0</v>
      </c>
    </row>
    <row r="13" spans="1:16" ht="19.5" customHeight="1">
      <c r="A13" s="62" t="s">
        <v>205</v>
      </c>
      <c r="B13" s="60">
        <v>42462</v>
      </c>
      <c r="C13" s="127">
        <v>83</v>
      </c>
      <c r="D13" s="127">
        <v>1</v>
      </c>
      <c r="E13" s="127">
        <v>12</v>
      </c>
      <c r="F13" s="127">
        <v>520</v>
      </c>
      <c r="G13" s="126">
        <f t="shared" si="0"/>
        <v>196</v>
      </c>
      <c r="H13" s="128">
        <f t="shared" si="1"/>
        <v>2.229591836734694</v>
      </c>
      <c r="I13" s="126">
        <f t="shared" si="3"/>
        <v>540.0663265306123</v>
      </c>
      <c r="J13" s="129">
        <f t="shared" si="2"/>
        <v>20</v>
      </c>
      <c r="K13" s="126">
        <f t="shared" si="4"/>
        <v>560.0663265306123</v>
      </c>
      <c r="L13" s="131">
        <f t="shared" si="5"/>
        <v>1.0008782196854855</v>
      </c>
      <c r="M13" s="61"/>
      <c r="N13" s="142">
        <v>8</v>
      </c>
      <c r="O13" s="143">
        <v>0</v>
      </c>
      <c r="P13" s="144">
        <v>0</v>
      </c>
    </row>
    <row r="14" spans="1:16" ht="19.5" customHeight="1">
      <c r="A14" s="62" t="s">
        <v>206</v>
      </c>
      <c r="B14" s="60">
        <v>42462</v>
      </c>
      <c r="C14" s="127">
        <v>69</v>
      </c>
      <c r="D14" s="127">
        <v>1</v>
      </c>
      <c r="E14" s="127">
        <v>8</v>
      </c>
      <c r="F14" s="127">
        <v>490</v>
      </c>
      <c r="G14" s="126">
        <f t="shared" si="0"/>
        <v>196</v>
      </c>
      <c r="H14" s="128">
        <f t="shared" si="1"/>
        <v>2.1479591836734695</v>
      </c>
      <c r="I14" s="126">
        <f t="shared" si="3"/>
        <v>509.33163265306126</v>
      </c>
      <c r="J14" s="129">
        <f t="shared" si="2"/>
        <v>0</v>
      </c>
      <c r="K14" s="126">
        <f t="shared" si="4"/>
        <v>509.33163265306126</v>
      </c>
      <c r="L14" s="131">
        <f t="shared" si="5"/>
        <v>0.9102117259524869</v>
      </c>
      <c r="M14" s="61"/>
      <c r="N14" s="142">
        <v>9</v>
      </c>
      <c r="O14" s="143">
        <v>0</v>
      </c>
      <c r="P14" s="144">
        <v>0</v>
      </c>
    </row>
    <row r="15" spans="1:16" ht="19.5" customHeight="1">
      <c r="A15" s="62" t="s">
        <v>207</v>
      </c>
      <c r="B15" s="60">
        <v>42471</v>
      </c>
      <c r="C15" s="127">
        <v>76</v>
      </c>
      <c r="D15" s="127">
        <v>0</v>
      </c>
      <c r="E15" s="127">
        <v>3</v>
      </c>
      <c r="F15" s="127">
        <v>505</v>
      </c>
      <c r="G15" s="126">
        <f t="shared" si="0"/>
        <v>187</v>
      </c>
      <c r="H15" s="128">
        <f t="shared" si="1"/>
        <v>2.2941176470588234</v>
      </c>
      <c r="I15" s="126">
        <f t="shared" si="3"/>
        <v>546.2941176470588</v>
      </c>
      <c r="J15" s="129">
        <f t="shared" si="2"/>
        <v>36</v>
      </c>
      <c r="K15" s="126">
        <f t="shared" si="4"/>
        <v>582.2941176470588</v>
      </c>
      <c r="L15" s="131">
        <f t="shared" si="5"/>
        <v>1.0458418830488698</v>
      </c>
      <c r="M15" s="61"/>
      <c r="N15" s="142">
        <v>10</v>
      </c>
      <c r="O15" s="143">
        <v>0</v>
      </c>
      <c r="P15" s="144">
        <v>0</v>
      </c>
    </row>
    <row r="16" spans="1:16" ht="19.5" customHeight="1" thickBot="1">
      <c r="A16" s="63" t="s">
        <v>208</v>
      </c>
      <c r="B16" s="64">
        <v>42475</v>
      </c>
      <c r="C16" s="132">
        <v>73</v>
      </c>
      <c r="D16" s="132">
        <v>1</v>
      </c>
      <c r="E16" s="132">
        <v>6</v>
      </c>
      <c r="F16" s="132">
        <v>495</v>
      </c>
      <c r="G16" s="133">
        <f t="shared" si="0"/>
        <v>183</v>
      </c>
      <c r="H16" s="134">
        <f t="shared" si="1"/>
        <v>2.3060109289617485</v>
      </c>
      <c r="I16" s="133">
        <f t="shared" si="3"/>
        <v>545.7322404371585</v>
      </c>
      <c r="J16" s="135">
        <f t="shared" si="2"/>
        <v>0</v>
      </c>
      <c r="K16" s="133">
        <f t="shared" si="4"/>
        <v>545.7322404371585</v>
      </c>
      <c r="L16" s="136">
        <f>K16/IF(D16=1,K$23,K$24)</f>
        <v>0.9752621919215839</v>
      </c>
      <c r="M16" s="65"/>
      <c r="N16" s="142">
        <v>11</v>
      </c>
      <c r="O16" s="143">
        <v>20</v>
      </c>
      <c r="P16" s="144">
        <v>18</v>
      </c>
    </row>
    <row r="17" spans="3:16" ht="16.5" customHeight="1">
      <c r="C17" s="129"/>
      <c r="D17" s="129"/>
      <c r="E17" s="129"/>
      <c r="F17" s="129"/>
      <c r="G17" s="129"/>
      <c r="H17" s="129"/>
      <c r="I17" s="129"/>
      <c r="J17" s="129"/>
      <c r="K17" s="129"/>
      <c r="L17" s="137"/>
      <c r="N17" s="142">
        <v>12</v>
      </c>
      <c r="O17" s="143">
        <v>20</v>
      </c>
      <c r="P17" s="144">
        <v>18</v>
      </c>
    </row>
    <row r="18" spans="1:16" ht="19.5" customHeight="1">
      <c r="A18" s="1" t="s">
        <v>46</v>
      </c>
      <c r="B18" s="66">
        <f aca="true" t="shared" si="6" ref="B18:L18">AVERAGE(B$7:B$16)</f>
        <v>42455.6</v>
      </c>
      <c r="C18" s="138">
        <f t="shared" si="6"/>
        <v>78</v>
      </c>
      <c r="D18" s="128">
        <f t="shared" si="6"/>
        <v>0.6</v>
      </c>
      <c r="E18" s="138">
        <f t="shared" si="6"/>
        <v>5.5</v>
      </c>
      <c r="F18" s="126">
        <f t="shared" si="6"/>
        <v>533.5</v>
      </c>
      <c r="G18" s="126">
        <f t="shared" si="6"/>
        <v>202.4</v>
      </c>
      <c r="H18" s="128">
        <f t="shared" si="6"/>
        <v>2.2519669182031157</v>
      </c>
      <c r="I18" s="126">
        <f t="shared" si="6"/>
        <v>539.6532182316387</v>
      </c>
      <c r="J18" s="138">
        <f t="shared" si="6"/>
        <v>18.8</v>
      </c>
      <c r="K18" s="126">
        <f t="shared" si="6"/>
        <v>558.4532182316386</v>
      </c>
      <c r="L18" s="137">
        <f t="shared" si="6"/>
        <v>1</v>
      </c>
      <c r="M18" s="61"/>
      <c r="N18" s="142">
        <v>13</v>
      </c>
      <c r="O18" s="143">
        <v>20</v>
      </c>
      <c r="P18" s="144">
        <v>18</v>
      </c>
    </row>
    <row r="19" spans="1:16" ht="19.5" customHeight="1">
      <c r="A19" s="1" t="s">
        <v>47</v>
      </c>
      <c r="B19" s="66">
        <f aca="true" t="shared" si="7" ref="B19:L19">MIN(B$7:B$16)</f>
        <v>42419</v>
      </c>
      <c r="C19" s="138">
        <f t="shared" si="7"/>
        <v>68</v>
      </c>
      <c r="D19" s="128">
        <f t="shared" si="7"/>
        <v>0</v>
      </c>
      <c r="E19" s="138">
        <f t="shared" si="7"/>
        <v>2</v>
      </c>
      <c r="F19" s="126">
        <f t="shared" si="7"/>
        <v>490</v>
      </c>
      <c r="G19" s="126">
        <f t="shared" si="7"/>
        <v>183</v>
      </c>
      <c r="H19" s="128">
        <f t="shared" si="7"/>
        <v>2.1479591836734695</v>
      </c>
      <c r="I19" s="126">
        <f t="shared" si="7"/>
        <v>509.33163265306126</v>
      </c>
      <c r="J19" s="138">
        <f t="shared" si="7"/>
        <v>0</v>
      </c>
      <c r="K19" s="126">
        <f t="shared" si="7"/>
        <v>509.33163265306126</v>
      </c>
      <c r="L19" s="137">
        <f t="shared" si="7"/>
        <v>0.9102117259524869</v>
      </c>
      <c r="M19" s="61"/>
      <c r="N19" s="142">
        <v>14</v>
      </c>
      <c r="O19" s="143">
        <v>20</v>
      </c>
      <c r="P19" s="144">
        <v>18</v>
      </c>
    </row>
    <row r="20" spans="1:16" ht="19.5" customHeight="1" thickBot="1">
      <c r="A20" s="1" t="s">
        <v>48</v>
      </c>
      <c r="B20" s="66">
        <f aca="true" t="shared" si="8" ref="B20:L20">MAX(B$7:B$16)</f>
        <v>42475</v>
      </c>
      <c r="C20" s="138">
        <f t="shared" si="8"/>
        <v>93</v>
      </c>
      <c r="D20" s="128">
        <f t="shared" si="8"/>
        <v>1</v>
      </c>
      <c r="E20" s="138">
        <f t="shared" si="8"/>
        <v>12</v>
      </c>
      <c r="F20" s="126">
        <f t="shared" si="8"/>
        <v>610</v>
      </c>
      <c r="G20" s="126">
        <f t="shared" si="8"/>
        <v>239</v>
      </c>
      <c r="H20" s="128">
        <f t="shared" si="8"/>
        <v>2.4390243902439024</v>
      </c>
      <c r="I20" s="126">
        <f t="shared" si="8"/>
        <v>585</v>
      </c>
      <c r="J20" s="138">
        <f t="shared" si="8"/>
        <v>60</v>
      </c>
      <c r="K20" s="126">
        <f t="shared" si="8"/>
        <v>620.8672985781991</v>
      </c>
      <c r="L20" s="137">
        <f t="shared" si="8"/>
        <v>1.1095338659463565</v>
      </c>
      <c r="M20" s="61"/>
      <c r="N20" s="145">
        <v>15</v>
      </c>
      <c r="O20" s="146">
        <v>20</v>
      </c>
      <c r="P20" s="147">
        <v>18</v>
      </c>
    </row>
    <row r="21" spans="1:13" ht="19.5" customHeight="1">
      <c r="A21" s="1" t="s">
        <v>49</v>
      </c>
      <c r="B21" s="126">
        <f>+B20-B19</f>
        <v>56</v>
      </c>
      <c r="C21" s="138">
        <f>+C20-C19</f>
        <v>25</v>
      </c>
      <c r="D21" s="128">
        <f aca="true" t="shared" si="9" ref="D21:L21">+D20-D19</f>
        <v>1</v>
      </c>
      <c r="E21" s="138">
        <f t="shared" si="9"/>
        <v>10</v>
      </c>
      <c r="F21" s="126">
        <f t="shared" si="9"/>
        <v>120</v>
      </c>
      <c r="G21" s="126">
        <f t="shared" si="9"/>
        <v>56</v>
      </c>
      <c r="H21" s="128">
        <f t="shared" si="9"/>
        <v>0.2910652065704329</v>
      </c>
      <c r="I21" s="126">
        <f t="shared" si="9"/>
        <v>75.66836734693874</v>
      </c>
      <c r="J21" s="138">
        <f t="shared" si="9"/>
        <v>60</v>
      </c>
      <c r="K21" s="126">
        <f t="shared" si="9"/>
        <v>111.53566592513783</v>
      </c>
      <c r="L21" s="137">
        <f t="shared" si="9"/>
        <v>0.1993221399938696</v>
      </c>
      <c r="M21" s="61"/>
    </row>
    <row r="22" spans="3:12" ht="16.5" customHeight="1"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9.5" customHeight="1">
      <c r="A23" s="1" t="s">
        <v>97</v>
      </c>
      <c r="C23" s="129"/>
      <c r="D23" s="129"/>
      <c r="E23" s="129"/>
      <c r="F23" s="129"/>
      <c r="G23" s="129"/>
      <c r="H23" s="129"/>
      <c r="I23" s="129"/>
      <c r="J23" s="129"/>
      <c r="K23" s="138">
        <f>SUMPRODUCT(D7:D16,K7:K16)/SUM(D7:D16)</f>
        <v>559.5748968407032</v>
      </c>
      <c r="L23" s="129"/>
    </row>
    <row r="24" spans="1:12" ht="19.5" customHeight="1">
      <c r="A24" s="1" t="s">
        <v>98</v>
      </c>
      <c r="C24" s="129"/>
      <c r="D24" s="129"/>
      <c r="E24" s="129"/>
      <c r="F24" s="129"/>
      <c r="G24" s="129"/>
      <c r="H24" s="129"/>
      <c r="I24" s="129"/>
      <c r="J24" s="129"/>
      <c r="K24" s="138">
        <f>(SUM(K7:K16)-SUMPRODUCT(D7:D16,K7:K16))/(COUNT(D7:D16)-SUM(D7:D16))</f>
        <v>556.7707003180418</v>
      </c>
      <c r="L24" s="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7"/>
  <sheetViews>
    <sheetView zoomScale="105" zoomScaleNormal="105" zoomScalePageLayoutView="0" workbookViewId="0" topLeftCell="A1">
      <selection activeCell="A1" sqref="A1"/>
    </sheetView>
  </sheetViews>
  <sheetFormatPr defaultColWidth="9.140625" defaultRowHeight="12.75"/>
  <cols>
    <col min="1" max="1" width="20.7109375" style="150" customWidth="1"/>
    <col min="2" max="2" width="14.7109375" style="150" customWidth="1"/>
    <col min="3" max="3" width="6.7109375" style="150" customWidth="1"/>
    <col min="4" max="4" width="9.140625" style="150" customWidth="1"/>
    <col min="5" max="5" width="9.7109375" style="150" bestFit="1" customWidth="1"/>
    <col min="6" max="16384" width="9.140625" style="150" customWidth="1"/>
  </cols>
  <sheetData>
    <row r="1" ht="15.75">
      <c r="A1" s="148" t="s">
        <v>172</v>
      </c>
    </row>
    <row r="2" ht="15.75">
      <c r="A2" s="148"/>
    </row>
    <row r="3" spans="1:7" ht="15.75">
      <c r="A3" s="230"/>
      <c r="B3" s="230"/>
      <c r="C3" s="230"/>
      <c r="D3" s="240" t="s">
        <v>187</v>
      </c>
      <c r="E3" s="230"/>
      <c r="F3" s="230"/>
      <c r="G3" s="230"/>
    </row>
    <row r="4" spans="1:7" ht="15">
      <c r="A4" s="175" t="s">
        <v>170</v>
      </c>
      <c r="B4" s="158">
        <v>8</v>
      </c>
      <c r="C4" s="175"/>
      <c r="D4" s="175"/>
      <c r="E4" s="175"/>
      <c r="F4" s="175"/>
      <c r="G4" s="175"/>
    </row>
    <row r="5" spans="1:7" ht="15">
      <c r="A5" s="175" t="s">
        <v>169</v>
      </c>
      <c r="B5" s="158">
        <v>24</v>
      </c>
      <c r="C5" s="175"/>
      <c r="D5" s="175"/>
      <c r="E5" s="175"/>
      <c r="F5" s="175"/>
      <c r="G5" s="175"/>
    </row>
    <row r="6" spans="1:7" ht="15">
      <c r="A6" s="175" t="s">
        <v>171</v>
      </c>
      <c r="B6" s="158">
        <v>1959</v>
      </c>
      <c r="C6" s="175"/>
      <c r="D6" s="175"/>
      <c r="E6" s="175"/>
      <c r="F6" s="175"/>
      <c r="G6" s="175"/>
    </row>
    <row r="7" spans="1:7" ht="15">
      <c r="A7" s="175"/>
      <c r="B7" s="175"/>
      <c r="C7" s="175"/>
      <c r="D7" s="175"/>
      <c r="E7" s="175"/>
      <c r="F7" s="175"/>
      <c r="G7" s="175"/>
    </row>
    <row r="8" spans="1:7" ht="15">
      <c r="A8" s="175" t="s">
        <v>166</v>
      </c>
      <c r="B8" s="231">
        <f>DATE(B6,B4,B5)</f>
        <v>21786</v>
      </c>
      <c r="C8" s="175"/>
      <c r="D8" s="238" t="s">
        <v>190</v>
      </c>
      <c r="E8" s="238"/>
      <c r="F8" s="175"/>
      <c r="G8" s="175"/>
    </row>
    <row r="9" spans="1:7" ht="15">
      <c r="A9" s="175" t="s">
        <v>167</v>
      </c>
      <c r="B9" s="232">
        <f ca="1">NOW()</f>
        <v>42550.49247002315</v>
      </c>
      <c r="C9" s="175"/>
      <c r="D9" s="238" t="s">
        <v>191</v>
      </c>
      <c r="E9" s="238"/>
      <c r="F9" s="175"/>
      <c r="G9" s="175"/>
    </row>
    <row r="10" spans="1:7" ht="15">
      <c r="A10" s="175"/>
      <c r="B10" s="232"/>
      <c r="C10" s="175"/>
      <c r="D10" s="238"/>
      <c r="E10" s="238"/>
      <c r="F10" s="175"/>
      <c r="G10" s="175"/>
    </row>
    <row r="11" spans="1:7" ht="15">
      <c r="A11" s="175" t="s">
        <v>188</v>
      </c>
      <c r="B11" s="237">
        <f>B9-B8</f>
        <v>20764.49247002315</v>
      </c>
      <c r="C11" s="175"/>
      <c r="D11" s="238" t="s">
        <v>189</v>
      </c>
      <c r="E11" s="238"/>
      <c r="F11" s="175"/>
      <c r="G11" s="175"/>
    </row>
    <row r="12" spans="1:7" ht="15">
      <c r="A12" s="175"/>
      <c r="B12" s="175"/>
      <c r="C12" s="175"/>
      <c r="D12" s="238"/>
      <c r="E12" s="238"/>
      <c r="F12" s="175"/>
      <c r="G12" s="175"/>
    </row>
    <row r="13" spans="1:7" ht="15">
      <c r="A13" s="175" t="s">
        <v>185</v>
      </c>
      <c r="B13" s="233" t="str">
        <f>VLOOKUP(WEEKDAY(B8),A21:B27,2)</f>
        <v>Monday</v>
      </c>
      <c r="C13" s="175"/>
      <c r="D13" s="238" t="s">
        <v>192</v>
      </c>
      <c r="E13" s="238"/>
      <c r="F13" s="175"/>
      <c r="G13" s="175"/>
    </row>
    <row r="14" spans="1:7" ht="15">
      <c r="A14" s="175" t="s">
        <v>168</v>
      </c>
      <c r="B14" s="234">
        <f>YEARFRAC(B8,B9)</f>
        <v>56.84722222222222</v>
      </c>
      <c r="C14" s="175"/>
      <c r="D14" s="238" t="s">
        <v>193</v>
      </c>
      <c r="E14" s="238"/>
      <c r="F14" s="175"/>
      <c r="G14" s="175"/>
    </row>
    <row r="15" spans="1:7" ht="15">
      <c r="A15" s="175" t="s">
        <v>182</v>
      </c>
      <c r="B15" s="235">
        <f>INT(B14)</f>
        <v>56</v>
      </c>
      <c r="C15" s="175"/>
      <c r="D15" s="238" t="s">
        <v>194</v>
      </c>
      <c r="E15" s="238"/>
      <c r="F15" s="175"/>
      <c r="G15" s="175"/>
    </row>
    <row r="16" spans="1:7" ht="15">
      <c r="A16" s="175" t="s">
        <v>183</v>
      </c>
      <c r="B16" s="235">
        <f>INT((B14-INT(B14))*12)</f>
        <v>10</v>
      </c>
      <c r="C16" s="175"/>
      <c r="D16" s="238" t="s">
        <v>194</v>
      </c>
      <c r="E16" s="238"/>
      <c r="F16" s="175"/>
      <c r="G16" s="175"/>
    </row>
    <row r="17" spans="1:7" ht="15">
      <c r="A17" s="178" t="s">
        <v>184</v>
      </c>
      <c r="B17" s="236">
        <f>ROUND((B14-B15)*365-B16*30,0)</f>
        <v>9</v>
      </c>
      <c r="C17" s="178"/>
      <c r="D17" s="239" t="s">
        <v>195</v>
      </c>
      <c r="E17" s="239"/>
      <c r="F17" s="178"/>
      <c r="G17" s="178"/>
    </row>
    <row r="19" spans="1:5" ht="15">
      <c r="A19" s="150" t="s">
        <v>180</v>
      </c>
      <c r="E19" s="169"/>
    </row>
    <row r="20" spans="1:2" ht="15">
      <c r="A20" s="168" t="s">
        <v>186</v>
      </c>
      <c r="B20" s="168" t="s">
        <v>173</v>
      </c>
    </row>
    <row r="21" spans="1:2" ht="15">
      <c r="A21" s="226">
        <v>1</v>
      </c>
      <c r="B21" s="227" t="s">
        <v>174</v>
      </c>
    </row>
    <row r="22" spans="1:2" ht="15">
      <c r="A22" s="191">
        <v>2</v>
      </c>
      <c r="B22" s="225" t="s">
        <v>175</v>
      </c>
    </row>
    <row r="23" spans="1:2" ht="15">
      <c r="A23" s="191">
        <v>3</v>
      </c>
      <c r="B23" s="225" t="s">
        <v>176</v>
      </c>
    </row>
    <row r="24" spans="1:2" ht="15">
      <c r="A24" s="191">
        <v>4</v>
      </c>
      <c r="B24" s="225" t="s">
        <v>177</v>
      </c>
    </row>
    <row r="25" spans="1:2" ht="15">
      <c r="A25" s="191">
        <v>5</v>
      </c>
      <c r="B25" s="225" t="s">
        <v>178</v>
      </c>
    </row>
    <row r="26" spans="1:2" ht="15">
      <c r="A26" s="191">
        <v>6</v>
      </c>
      <c r="B26" s="225" t="s">
        <v>179</v>
      </c>
    </row>
    <row r="27" spans="1:2" ht="15">
      <c r="A27" s="228">
        <v>7</v>
      </c>
      <c r="B27" s="229" t="s">
        <v>181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00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6384" width="11.7109375" style="150" customWidth="1"/>
  </cols>
  <sheetData>
    <row r="1" ht="15.75">
      <c r="A1" s="148" t="s">
        <v>106</v>
      </c>
    </row>
    <row r="2" spans="1:14" ht="15" customHeight="1">
      <c r="A2" s="149"/>
      <c r="H2" s="168" t="s">
        <v>120</v>
      </c>
      <c r="I2" s="168" t="s">
        <v>127</v>
      </c>
      <c r="J2" s="168" t="s">
        <v>155</v>
      </c>
      <c r="N2" s="151"/>
    </row>
    <row r="3" spans="1:12" ht="15.75" thickBot="1">
      <c r="A3" s="150" t="s">
        <v>139</v>
      </c>
      <c r="F3" s="150" t="s">
        <v>160</v>
      </c>
      <c r="H3" s="168" t="s">
        <v>121</v>
      </c>
      <c r="I3" s="168" t="s">
        <v>145</v>
      </c>
      <c r="J3" s="168" t="s">
        <v>157</v>
      </c>
      <c r="L3" s="150" t="s">
        <v>150</v>
      </c>
    </row>
    <row r="4" spans="1:12" ht="15">
      <c r="A4" s="194" t="s">
        <v>134</v>
      </c>
      <c r="B4" s="194"/>
      <c r="C4" s="194"/>
      <c r="D4" s="202">
        <v>100</v>
      </c>
      <c r="F4" s="194" t="s">
        <v>112</v>
      </c>
      <c r="G4" s="194"/>
      <c r="H4" s="204" t="s">
        <v>154</v>
      </c>
      <c r="I4" s="195" t="s">
        <v>154</v>
      </c>
      <c r="J4" s="205">
        <v>0.25</v>
      </c>
      <c r="L4" s="150" t="s">
        <v>146</v>
      </c>
    </row>
    <row r="5" spans="1:12" ht="15">
      <c r="A5" s="175" t="s">
        <v>107</v>
      </c>
      <c r="B5" s="175"/>
      <c r="C5" s="175"/>
      <c r="D5" s="186">
        <v>550</v>
      </c>
      <c r="F5" s="190" t="s">
        <v>17</v>
      </c>
      <c r="G5" s="175"/>
      <c r="H5" s="157">
        <v>0.2</v>
      </c>
      <c r="I5" s="191">
        <v>1</v>
      </c>
      <c r="J5" s="192">
        <v>0.25</v>
      </c>
      <c r="L5" s="150" t="s">
        <v>147</v>
      </c>
    </row>
    <row r="6" spans="1:12" ht="15">
      <c r="A6" s="175" t="s">
        <v>110</v>
      </c>
      <c r="B6" s="175"/>
      <c r="C6" s="175"/>
      <c r="D6" s="157">
        <v>142</v>
      </c>
      <c r="F6" s="193" t="s">
        <v>138</v>
      </c>
      <c r="G6" s="175"/>
      <c r="H6" s="157">
        <v>15</v>
      </c>
      <c r="I6" s="191">
        <v>2</v>
      </c>
      <c r="J6" s="192">
        <v>1</v>
      </c>
      <c r="L6" s="150" t="s">
        <v>148</v>
      </c>
    </row>
    <row r="7" spans="1:12" ht="15">
      <c r="A7" s="175" t="s">
        <v>135</v>
      </c>
      <c r="B7" s="175"/>
      <c r="C7" s="175"/>
      <c r="D7" s="186">
        <v>90</v>
      </c>
      <c r="F7" s="193" t="s">
        <v>125</v>
      </c>
      <c r="G7" s="175"/>
      <c r="H7" s="157">
        <v>10</v>
      </c>
      <c r="I7" s="191">
        <v>2</v>
      </c>
      <c r="J7" s="192">
        <v>0</v>
      </c>
      <c r="L7" s="150" t="s">
        <v>149</v>
      </c>
    </row>
    <row r="8" spans="1:10" ht="15">
      <c r="A8" s="175" t="s">
        <v>108</v>
      </c>
      <c r="B8" s="175"/>
      <c r="C8" s="175"/>
      <c r="D8" s="159">
        <v>2.2</v>
      </c>
      <c r="F8" s="193" t="s">
        <v>15</v>
      </c>
      <c r="G8" s="175"/>
      <c r="H8" s="157">
        <f>5*3.5</f>
        <v>17.5</v>
      </c>
      <c r="I8" s="191">
        <v>3</v>
      </c>
      <c r="J8" s="192">
        <v>0</v>
      </c>
    </row>
    <row r="9" spans="1:10" ht="15">
      <c r="A9" s="175" t="s">
        <v>156</v>
      </c>
      <c r="B9" s="175"/>
      <c r="C9" s="175"/>
      <c r="D9" s="187">
        <v>0.015</v>
      </c>
      <c r="F9" s="193" t="s">
        <v>126</v>
      </c>
      <c r="G9" s="175"/>
      <c r="H9" s="157">
        <v>600</v>
      </c>
      <c r="I9" s="191">
        <v>4</v>
      </c>
      <c r="J9" s="192">
        <v>0</v>
      </c>
    </row>
    <row r="10" spans="1:10" ht="15">
      <c r="A10" s="175" t="s">
        <v>122</v>
      </c>
      <c r="B10" s="175"/>
      <c r="C10" s="188"/>
      <c r="D10" s="189">
        <f>ROUND(D4*(1-D9),0)</f>
        <v>99</v>
      </c>
      <c r="F10" s="193" t="s">
        <v>16</v>
      </c>
      <c r="G10" s="175"/>
      <c r="H10" s="157">
        <v>500</v>
      </c>
      <c r="I10" s="191">
        <v>4</v>
      </c>
      <c r="J10" s="192">
        <v>0</v>
      </c>
    </row>
    <row r="11" spans="1:10" ht="15">
      <c r="A11" s="175" t="s">
        <v>109</v>
      </c>
      <c r="B11" s="175"/>
      <c r="C11" s="188"/>
      <c r="D11" s="189">
        <f>D5+D7*D8</f>
        <v>748</v>
      </c>
      <c r="F11" s="193" t="s">
        <v>136</v>
      </c>
      <c r="G11" s="175"/>
      <c r="H11" s="157">
        <v>1000</v>
      </c>
      <c r="I11" s="191">
        <v>4</v>
      </c>
      <c r="J11" s="192">
        <v>0</v>
      </c>
    </row>
    <row r="12" spans="1:10" ht="15">
      <c r="A12" s="175" t="s">
        <v>111</v>
      </c>
      <c r="B12" s="175"/>
      <c r="C12" s="188"/>
      <c r="D12" s="157">
        <v>114</v>
      </c>
      <c r="F12" s="193" t="s">
        <v>137</v>
      </c>
      <c r="G12" s="175"/>
      <c r="H12" s="157">
        <v>500</v>
      </c>
      <c r="I12" s="191">
        <v>4</v>
      </c>
      <c r="J12" s="192">
        <v>0</v>
      </c>
    </row>
    <row r="13" spans="1:10" ht="15">
      <c r="A13" s="175" t="s">
        <v>143</v>
      </c>
      <c r="B13" s="175"/>
      <c r="C13" s="175"/>
      <c r="D13" s="189">
        <f>D11*(1-D9)-D5</f>
        <v>186.77999999999997</v>
      </c>
      <c r="F13" s="193" t="s">
        <v>65</v>
      </c>
      <c r="G13" s="175"/>
      <c r="H13" s="157">
        <v>5</v>
      </c>
      <c r="I13" s="191">
        <v>2</v>
      </c>
      <c r="J13" s="192">
        <v>1</v>
      </c>
    </row>
    <row r="14" spans="1:10" ht="15">
      <c r="A14" s="175" t="s">
        <v>142</v>
      </c>
      <c r="B14" s="175"/>
      <c r="C14" s="175"/>
      <c r="D14" s="166">
        <f>D11*D12/100*(1-D9)-D5*D6/100</f>
        <v>58.92920000000004</v>
      </c>
      <c r="F14" s="193" t="s">
        <v>117</v>
      </c>
      <c r="G14" s="175"/>
      <c r="H14" s="157">
        <v>0</v>
      </c>
      <c r="I14" s="191">
        <v>0</v>
      </c>
      <c r="J14" s="192">
        <v>0</v>
      </c>
    </row>
    <row r="15" spans="1:10" ht="15.75" thickBot="1">
      <c r="A15" s="199" t="s">
        <v>141</v>
      </c>
      <c r="B15" s="199"/>
      <c r="C15" s="199"/>
      <c r="D15" s="203">
        <f>D14/D13*100</f>
        <v>31.550058892815102</v>
      </c>
      <c r="F15" s="199" t="s">
        <v>52</v>
      </c>
      <c r="G15" s="199"/>
      <c r="H15" s="206">
        <v>0.06</v>
      </c>
      <c r="I15" s="207" t="s">
        <v>144</v>
      </c>
      <c r="J15" s="208" t="s">
        <v>144</v>
      </c>
    </row>
    <row r="17" ht="15.75" thickBot="1">
      <c r="A17" s="150" t="s">
        <v>124</v>
      </c>
    </row>
    <row r="18" spans="1:10" ht="15">
      <c r="A18" s="194"/>
      <c r="B18" s="194"/>
      <c r="C18" s="195" t="s">
        <v>120</v>
      </c>
      <c r="D18" s="195"/>
      <c r="E18" s="194"/>
      <c r="F18" s="196" t="s">
        <v>129</v>
      </c>
      <c r="G18" s="196"/>
      <c r="H18" s="196"/>
      <c r="I18" s="196"/>
      <c r="J18" s="195" t="s">
        <v>158</v>
      </c>
    </row>
    <row r="19" spans="1:10" ht="15">
      <c r="A19" s="175" t="s">
        <v>118</v>
      </c>
      <c r="B19" s="175"/>
      <c r="C19" s="197" t="s">
        <v>121</v>
      </c>
      <c r="D19" s="197" t="s">
        <v>119</v>
      </c>
      <c r="E19" s="197" t="s">
        <v>140</v>
      </c>
      <c r="F19" s="198" t="s">
        <v>130</v>
      </c>
      <c r="G19" s="198" t="s">
        <v>132</v>
      </c>
      <c r="H19" s="198" t="s">
        <v>131</v>
      </c>
      <c r="I19" s="198" t="s">
        <v>133</v>
      </c>
      <c r="J19" s="197" t="s">
        <v>159</v>
      </c>
    </row>
    <row r="20" spans="1:10" ht="15">
      <c r="A20" s="171" t="s">
        <v>113</v>
      </c>
      <c r="B20" s="172"/>
      <c r="C20" s="153">
        <v>90</v>
      </c>
      <c r="D20" s="154">
        <v>2000</v>
      </c>
      <c r="E20" s="165">
        <f aca="true" t="shared" si="0" ref="E20:E25">IF(D20=0,0,C20/D20)</f>
        <v>0.045</v>
      </c>
      <c r="F20" s="155">
        <v>5</v>
      </c>
      <c r="G20" s="156">
        <f aca="true" t="shared" si="1" ref="G20:G25">F20*D$7</f>
        <v>450</v>
      </c>
      <c r="H20" s="156">
        <f aca="true" t="shared" si="2" ref="H20:H25">F20*D$4</f>
        <v>500</v>
      </c>
      <c r="I20" s="156">
        <f aca="true" t="shared" si="3" ref="I20:I25">H20*D$7</f>
        <v>45000</v>
      </c>
      <c r="J20" s="173">
        <f aca="true" t="shared" si="4" ref="J20:J25">IF(D20=0,0,I20/D20)</f>
        <v>22.5</v>
      </c>
    </row>
    <row r="21" spans="1:10" ht="15">
      <c r="A21" s="174" t="s">
        <v>114</v>
      </c>
      <c r="B21" s="175"/>
      <c r="C21" s="157">
        <v>4.75</v>
      </c>
      <c r="D21" s="158">
        <v>56</v>
      </c>
      <c r="E21" s="166">
        <f t="shared" si="0"/>
        <v>0.08482142857142858</v>
      </c>
      <c r="F21" s="159">
        <v>8.65</v>
      </c>
      <c r="G21" s="160">
        <f t="shared" si="1"/>
        <v>778.5</v>
      </c>
      <c r="H21" s="160">
        <f t="shared" si="2"/>
        <v>865</v>
      </c>
      <c r="I21" s="160">
        <f t="shared" si="3"/>
        <v>77850</v>
      </c>
      <c r="J21" s="176">
        <f t="shared" si="4"/>
        <v>1390.1785714285713</v>
      </c>
    </row>
    <row r="22" spans="1:10" ht="15">
      <c r="A22" s="174" t="s">
        <v>115</v>
      </c>
      <c r="B22" s="175"/>
      <c r="C22" s="157">
        <v>368</v>
      </c>
      <c r="D22" s="158">
        <v>2000</v>
      </c>
      <c r="E22" s="166">
        <f t="shared" si="0"/>
        <v>0.184</v>
      </c>
      <c r="F22" s="159">
        <v>1.7</v>
      </c>
      <c r="G22" s="160">
        <f t="shared" si="1"/>
        <v>153</v>
      </c>
      <c r="H22" s="160">
        <f t="shared" si="2"/>
        <v>170</v>
      </c>
      <c r="I22" s="160">
        <f t="shared" si="3"/>
        <v>15300</v>
      </c>
      <c r="J22" s="176">
        <f t="shared" si="4"/>
        <v>7.65</v>
      </c>
    </row>
    <row r="23" spans="1:10" ht="15">
      <c r="A23" s="174" t="s">
        <v>116</v>
      </c>
      <c r="B23" s="175"/>
      <c r="C23" s="157">
        <v>600</v>
      </c>
      <c r="D23" s="158">
        <v>2000</v>
      </c>
      <c r="E23" s="166">
        <f t="shared" si="0"/>
        <v>0.3</v>
      </c>
      <c r="F23" s="159">
        <v>0.25</v>
      </c>
      <c r="G23" s="160">
        <f t="shared" si="1"/>
        <v>22.5</v>
      </c>
      <c r="H23" s="160">
        <f t="shared" si="2"/>
        <v>25</v>
      </c>
      <c r="I23" s="160">
        <f t="shared" si="3"/>
        <v>2250</v>
      </c>
      <c r="J23" s="176">
        <f t="shared" si="4"/>
        <v>1.125</v>
      </c>
    </row>
    <row r="24" spans="1:10" ht="15">
      <c r="A24" s="174" t="s">
        <v>117</v>
      </c>
      <c r="B24" s="175"/>
      <c r="C24" s="157">
        <v>0</v>
      </c>
      <c r="D24" s="158">
        <v>0</v>
      </c>
      <c r="E24" s="166">
        <f t="shared" si="0"/>
        <v>0</v>
      </c>
      <c r="F24" s="159">
        <v>0</v>
      </c>
      <c r="G24" s="160">
        <f t="shared" si="1"/>
        <v>0</v>
      </c>
      <c r="H24" s="160">
        <f t="shared" si="2"/>
        <v>0</v>
      </c>
      <c r="I24" s="160">
        <f t="shared" si="3"/>
        <v>0</v>
      </c>
      <c r="J24" s="176">
        <f t="shared" si="4"/>
        <v>0</v>
      </c>
    </row>
    <row r="25" spans="1:10" ht="15">
      <c r="A25" s="177" t="s">
        <v>117</v>
      </c>
      <c r="B25" s="178"/>
      <c r="C25" s="161">
        <v>0</v>
      </c>
      <c r="D25" s="162">
        <v>0</v>
      </c>
      <c r="E25" s="167">
        <f t="shared" si="0"/>
        <v>0</v>
      </c>
      <c r="F25" s="163">
        <v>0</v>
      </c>
      <c r="G25" s="164">
        <f t="shared" si="1"/>
        <v>0</v>
      </c>
      <c r="H25" s="164">
        <f t="shared" si="2"/>
        <v>0</v>
      </c>
      <c r="I25" s="164">
        <f t="shared" si="3"/>
        <v>0</v>
      </c>
      <c r="J25" s="179">
        <f t="shared" si="4"/>
        <v>0</v>
      </c>
    </row>
    <row r="26" spans="1:10" ht="15.75" thickBot="1">
      <c r="A26" s="199" t="s">
        <v>6</v>
      </c>
      <c r="B26" s="199"/>
      <c r="C26" s="199"/>
      <c r="D26" s="199"/>
      <c r="E26" s="199"/>
      <c r="F26" s="200">
        <f>SUM(F20:F25)</f>
        <v>15.6</v>
      </c>
      <c r="G26" s="201">
        <f>SUM(G20:G25)</f>
        <v>1404</v>
      </c>
      <c r="H26" s="201">
        <f>SUM(H20:H25)</f>
        <v>1560</v>
      </c>
      <c r="I26" s="201">
        <f>SUM(I20:I25)</f>
        <v>140400</v>
      </c>
      <c r="J26" s="199"/>
    </row>
    <row r="28" spans="1:12" ht="15.75" thickBot="1">
      <c r="A28" s="199" t="s">
        <v>151</v>
      </c>
      <c r="B28" s="199"/>
      <c r="C28" s="207"/>
      <c r="D28" s="207" t="s">
        <v>62</v>
      </c>
      <c r="E28" s="207"/>
      <c r="F28" s="207" t="s">
        <v>128</v>
      </c>
      <c r="G28" s="199"/>
      <c r="H28" s="199"/>
      <c r="I28" s="199"/>
      <c r="J28" s="199"/>
      <c r="L28" s="169"/>
    </row>
    <row r="29" spans="1:6" ht="15">
      <c r="A29" s="150" t="s">
        <v>162</v>
      </c>
      <c r="C29" s="168"/>
      <c r="D29" s="168"/>
      <c r="E29" s="168"/>
      <c r="F29" s="168"/>
    </row>
    <row r="30" spans="1:6" ht="15">
      <c r="A30" s="209" t="s">
        <v>152</v>
      </c>
      <c r="C30" s="168"/>
      <c r="D30" s="152">
        <f>D11*D12/100*(1-D9)</f>
        <v>839.9292</v>
      </c>
      <c r="E30" s="181"/>
      <c r="F30" s="181">
        <f>D30*D$4</f>
        <v>83992.92</v>
      </c>
    </row>
    <row r="31" spans="1:6" ht="15">
      <c r="A31" s="209" t="s">
        <v>153</v>
      </c>
      <c r="D31" s="212">
        <f>D5*D6/100</f>
        <v>781</v>
      </c>
      <c r="E31" s="212"/>
      <c r="F31" s="212">
        <f>D31*D$4</f>
        <v>78100</v>
      </c>
    </row>
    <row r="32" spans="1:6" ht="15">
      <c r="A32" s="210" t="s">
        <v>161</v>
      </c>
      <c r="D32" s="152">
        <f>D30-D31</f>
        <v>58.92920000000004</v>
      </c>
      <c r="E32" s="181"/>
      <c r="F32" s="181">
        <f>D32*D$4</f>
        <v>5892.920000000004</v>
      </c>
    </row>
    <row r="34" spans="1:6" ht="15">
      <c r="A34" s="169" t="s">
        <v>123</v>
      </c>
      <c r="B34" s="169"/>
      <c r="C34" s="168"/>
      <c r="D34" s="168"/>
      <c r="E34" s="168"/>
      <c r="F34" s="168"/>
    </row>
    <row r="35" spans="1:10" ht="15">
      <c r="A35" s="170" t="str">
        <f aca="true" t="shared" si="5" ref="A35:A45">F4</f>
        <v>Feed</v>
      </c>
      <c r="B35" s="169"/>
      <c r="C35" s="180"/>
      <c r="D35" s="152">
        <f>SUMPRODUCT(E20:E25,G20:G25)*(1-D$9*(1-J4))</f>
        <v>119.82214546875001</v>
      </c>
      <c r="E35" s="181"/>
      <c r="F35" s="181">
        <f aca="true" t="shared" si="6" ref="F35:F46">D35*D$4</f>
        <v>11982.214546875</v>
      </c>
      <c r="G35" s="181"/>
      <c r="H35" s="181"/>
      <c r="I35" s="181"/>
      <c r="J35" s="181"/>
    </row>
    <row r="36" spans="1:8" ht="15">
      <c r="A36" s="170" t="str">
        <f t="shared" si="5"/>
        <v>Labor</v>
      </c>
      <c r="B36" s="169"/>
      <c r="D36" s="214">
        <f>IF(I5=1,H5*D$7,IF(I5=2,H5,IF(I5=3,H5*D$7/D$4,H5/D$4)))*(1-D$9*(1-J5))</f>
        <v>17.7975</v>
      </c>
      <c r="E36" s="215"/>
      <c r="F36" s="215">
        <f t="shared" si="6"/>
        <v>1779.75</v>
      </c>
      <c r="H36" s="181"/>
    </row>
    <row r="37" spans="1:8" ht="15">
      <c r="A37" s="170" t="str">
        <f t="shared" si="5"/>
        <v>Processing/vet</v>
      </c>
      <c r="B37" s="169"/>
      <c r="D37" s="214">
        <f aca="true" t="shared" si="7" ref="D37:D45">IF(I6=1,H6*D$7,IF(I6=2,H6,IF(I6=3,H6*D$7/D$4,H6/D$4)))*(1-D$9*(1-J6))</f>
        <v>15</v>
      </c>
      <c r="E37" s="215"/>
      <c r="F37" s="215">
        <f t="shared" si="6"/>
        <v>1500</v>
      </c>
      <c r="H37" s="169"/>
    </row>
    <row r="38" spans="1:8" ht="15">
      <c r="A38" s="170" t="str">
        <f t="shared" si="5"/>
        <v>Marketing/hauling</v>
      </c>
      <c r="B38" s="184"/>
      <c r="D38" s="214">
        <f t="shared" si="7"/>
        <v>9.85</v>
      </c>
      <c r="E38" s="215"/>
      <c r="F38" s="215">
        <f t="shared" si="6"/>
        <v>985</v>
      </c>
      <c r="H38" s="169"/>
    </row>
    <row r="39" spans="1:8" ht="15">
      <c r="A39" s="170" t="str">
        <f t="shared" si="5"/>
        <v>Fuel and oil</v>
      </c>
      <c r="B39" s="184"/>
      <c r="D39" s="214">
        <f t="shared" si="7"/>
        <v>15.51375</v>
      </c>
      <c r="E39" s="215"/>
      <c r="F39" s="215">
        <f t="shared" si="6"/>
        <v>1551.375</v>
      </c>
      <c r="H39" s="169"/>
    </row>
    <row r="40" spans="1:8" ht="15">
      <c r="A40" s="170" t="str">
        <f t="shared" si="5"/>
        <v>Utilities</v>
      </c>
      <c r="B40" s="184"/>
      <c r="D40" s="214">
        <f t="shared" si="7"/>
        <v>5.91</v>
      </c>
      <c r="E40" s="215"/>
      <c r="F40" s="215">
        <f t="shared" si="6"/>
        <v>591</v>
      </c>
      <c r="H40" s="169"/>
    </row>
    <row r="41" spans="1:8" ht="15">
      <c r="A41" s="170" t="str">
        <f t="shared" si="5"/>
        <v>Repairs</v>
      </c>
      <c r="B41" s="184"/>
      <c r="D41" s="214">
        <f t="shared" si="7"/>
        <v>4.925</v>
      </c>
      <c r="E41" s="215"/>
      <c r="F41" s="215">
        <f t="shared" si="6"/>
        <v>492.5</v>
      </c>
      <c r="H41" s="169"/>
    </row>
    <row r="42" spans="1:8" ht="15">
      <c r="A42" s="170" t="str">
        <f t="shared" si="5"/>
        <v>Dep &amp; int on equpiment</v>
      </c>
      <c r="B42" s="185"/>
      <c r="D42" s="214">
        <f t="shared" si="7"/>
        <v>9.85</v>
      </c>
      <c r="E42" s="215"/>
      <c r="F42" s="215">
        <f t="shared" si="6"/>
        <v>985</v>
      </c>
      <c r="H42" s="169"/>
    </row>
    <row r="43" spans="1:8" ht="15">
      <c r="A43" s="170" t="str">
        <f t="shared" si="5"/>
        <v>Dep &amp; int on facilities</v>
      </c>
      <c r="B43" s="169"/>
      <c r="D43" s="214">
        <f t="shared" si="7"/>
        <v>4.925</v>
      </c>
      <c r="E43" s="215"/>
      <c r="F43" s="215">
        <f t="shared" si="6"/>
        <v>492.5</v>
      </c>
      <c r="H43" s="169"/>
    </row>
    <row r="44" spans="1:12" ht="15">
      <c r="A44" s="170" t="str">
        <f t="shared" si="5"/>
        <v>Miscellaneous</v>
      </c>
      <c r="B44" s="185"/>
      <c r="D44" s="214">
        <f t="shared" si="7"/>
        <v>5</v>
      </c>
      <c r="E44" s="215"/>
      <c r="F44" s="215">
        <f t="shared" si="6"/>
        <v>500</v>
      </c>
      <c r="H44" s="169"/>
      <c r="J44" s="169"/>
      <c r="K44" s="169"/>
      <c r="L44" s="169"/>
    </row>
    <row r="45" spans="1:12" ht="15">
      <c r="A45" s="170" t="str">
        <f t="shared" si="5"/>
        <v>Other</v>
      </c>
      <c r="D45" s="214">
        <f t="shared" si="7"/>
        <v>0</v>
      </c>
      <c r="E45" s="215"/>
      <c r="F45" s="215">
        <f t="shared" si="6"/>
        <v>0</v>
      </c>
      <c r="H45" s="169"/>
      <c r="J45" s="169"/>
      <c r="K45" s="169"/>
      <c r="L45" s="169"/>
    </row>
    <row r="46" spans="1:12" ht="15">
      <c r="A46" s="170" t="s">
        <v>197</v>
      </c>
      <c r="B46" s="185"/>
      <c r="C46" s="169"/>
      <c r="D46" s="214">
        <f>(D31+SUM(D35:D37,D39:D41,D44:D45)/2)*H15*D7/365</f>
        <v>12.915382651412669</v>
      </c>
      <c r="E46" s="215"/>
      <c r="F46" s="215">
        <f t="shared" si="6"/>
        <v>1291.538265141267</v>
      </c>
      <c r="J46" s="169"/>
      <c r="K46" s="169"/>
      <c r="L46" s="169"/>
    </row>
    <row r="47" spans="1:12" ht="15">
      <c r="A47" s="211" t="s">
        <v>6</v>
      </c>
      <c r="B47" s="185"/>
      <c r="C47" s="169"/>
      <c r="D47" s="182">
        <f>SUM(D35:D46)</f>
        <v>221.50877812016267</v>
      </c>
      <c r="E47" s="183"/>
      <c r="F47" s="183">
        <f>SUM(F35:F44)</f>
        <v>20859.339546875002</v>
      </c>
      <c r="J47" s="169"/>
      <c r="K47" s="169"/>
      <c r="L47" s="169"/>
    </row>
    <row r="48" spans="1:12" ht="9.75" customHeight="1">
      <c r="A48" s="170"/>
      <c r="B48" s="169"/>
      <c r="C48" s="169"/>
      <c r="J48" s="169"/>
      <c r="K48" s="169"/>
      <c r="L48" s="169"/>
    </row>
    <row r="49" spans="1:12" ht="15.75" thickBot="1">
      <c r="A49" s="216" t="s">
        <v>163</v>
      </c>
      <c r="B49" s="217"/>
      <c r="C49" s="217"/>
      <c r="D49" s="218">
        <f>D32-D47</f>
        <v>-162.57957812016264</v>
      </c>
      <c r="E49" s="220"/>
      <c r="F49" s="220">
        <f>D49*D$4</f>
        <v>-16257.957812016264</v>
      </c>
      <c r="G49" s="219"/>
      <c r="H49" s="219"/>
      <c r="I49" s="219"/>
      <c r="J49" s="217"/>
      <c r="K49" s="169"/>
      <c r="L49" s="169"/>
    </row>
    <row r="50" spans="1:12" ht="9.75" customHeight="1" thickTop="1">
      <c r="A50" s="211"/>
      <c r="B50" s="169"/>
      <c r="C50" s="169"/>
      <c r="D50" s="182"/>
      <c r="J50" s="169"/>
      <c r="K50" s="169"/>
      <c r="L50" s="169"/>
    </row>
    <row r="51" spans="1:12" ht="15">
      <c r="A51" s="211" t="s">
        <v>165</v>
      </c>
      <c r="B51" s="169"/>
      <c r="C51" s="169"/>
      <c r="D51" s="223"/>
      <c r="E51" s="223">
        <f>(D47-D46)/D13*100</f>
        <v>111.67865695939074</v>
      </c>
      <c r="J51" s="169"/>
      <c r="K51" s="169"/>
      <c r="L51" s="169"/>
    </row>
    <row r="52" spans="1:12" ht="15">
      <c r="A52" s="211" t="s">
        <v>164</v>
      </c>
      <c r="B52" s="169"/>
      <c r="C52" s="169"/>
      <c r="D52" s="223"/>
      <c r="E52" s="223">
        <f>(D31+D47)/(D11*(1-D9))*100</f>
        <v>136.06623118436477</v>
      </c>
      <c r="J52" s="169"/>
      <c r="K52" s="169"/>
      <c r="L52" s="169"/>
    </row>
    <row r="53" spans="1:12" ht="15.75" thickBot="1">
      <c r="A53" s="221" t="s">
        <v>196</v>
      </c>
      <c r="B53" s="222"/>
      <c r="C53" s="222"/>
      <c r="D53" s="224"/>
      <c r="E53" s="224">
        <f>(D30-SUM(D35:D45)-SUM(D35:D37,D39:D41,D44:D45)/2*H15*D7/365)/(D5*(1+H15*D7/365))*100</f>
        <v>112.87102591112344</v>
      </c>
      <c r="F53" s="199"/>
      <c r="G53" s="199"/>
      <c r="H53" s="199"/>
      <c r="I53" s="199"/>
      <c r="J53" s="222"/>
      <c r="K53" s="169"/>
      <c r="L53" s="169"/>
    </row>
    <row r="54" spans="1:12" ht="15">
      <c r="A54" s="170" t="s">
        <v>198</v>
      </c>
      <c r="B54" s="169"/>
      <c r="C54" s="169"/>
      <c r="D54" s="169"/>
      <c r="J54" s="169"/>
      <c r="K54" s="169"/>
      <c r="L54" s="169"/>
    </row>
    <row r="55" spans="1:12" ht="15">
      <c r="A55" s="169"/>
      <c r="B55" s="169"/>
      <c r="C55" s="169"/>
      <c r="D55" s="169"/>
      <c r="J55" s="169"/>
      <c r="K55" s="169"/>
      <c r="L55" s="169"/>
    </row>
    <row r="56" spans="1:12" ht="15">
      <c r="A56" s="169"/>
      <c r="B56" s="169"/>
      <c r="C56" s="169"/>
      <c r="D56" s="213"/>
      <c r="J56" s="169"/>
      <c r="K56" s="169"/>
      <c r="L56" s="169"/>
    </row>
    <row r="57" spans="1:12" ht="15">
      <c r="A57" s="169"/>
      <c r="B57" s="169"/>
      <c r="C57" s="169"/>
      <c r="D57" s="169"/>
      <c r="J57" s="169"/>
      <c r="K57" s="169"/>
      <c r="L57" s="169"/>
    </row>
    <row r="58" spans="1:12" ht="15">
      <c r="A58" s="169"/>
      <c r="B58" s="169"/>
      <c r="C58" s="169"/>
      <c r="D58" s="169"/>
      <c r="J58" s="169"/>
      <c r="K58" s="169"/>
      <c r="L58" s="169"/>
    </row>
    <row r="59" spans="1:12" ht="15">
      <c r="A59" s="169"/>
      <c r="B59" s="169"/>
      <c r="C59" s="169"/>
      <c r="D59" s="169"/>
      <c r="J59" s="169"/>
      <c r="K59" s="169"/>
      <c r="L59" s="169"/>
    </row>
    <row r="60" spans="1:12" ht="15">
      <c r="A60" s="169"/>
      <c r="B60" s="169"/>
      <c r="C60" s="169"/>
      <c r="D60" s="169"/>
      <c r="J60" s="169"/>
      <c r="K60" s="169"/>
      <c r="L60" s="169"/>
    </row>
    <row r="61" spans="1:12" ht="15">
      <c r="A61" s="169"/>
      <c r="B61" s="169"/>
      <c r="C61" s="169"/>
      <c r="D61" s="169"/>
      <c r="J61" s="169"/>
      <c r="K61" s="169"/>
      <c r="L61" s="169"/>
    </row>
    <row r="62" spans="1:12" ht="15">
      <c r="A62" s="169"/>
      <c r="B62" s="169"/>
      <c r="C62" s="169"/>
      <c r="D62" s="169"/>
      <c r="J62" s="169"/>
      <c r="K62" s="169"/>
      <c r="L62" s="169"/>
    </row>
    <row r="63" spans="1:12" ht="15">
      <c r="A63" s="169"/>
      <c r="B63" s="169"/>
      <c r="C63" s="169"/>
      <c r="D63" s="169"/>
      <c r="J63" s="169"/>
      <c r="K63" s="169"/>
      <c r="L63" s="169"/>
    </row>
    <row r="64" spans="1:12" ht="15">
      <c r="A64" s="169"/>
      <c r="B64" s="169"/>
      <c r="C64" s="169"/>
      <c r="D64" s="169"/>
      <c r="J64" s="169"/>
      <c r="K64" s="169"/>
      <c r="L64" s="169"/>
    </row>
    <row r="65" spans="1:12" ht="15">
      <c r="A65" s="169"/>
      <c r="B65" s="169"/>
      <c r="C65" s="169"/>
      <c r="D65" s="169"/>
      <c r="J65" s="169"/>
      <c r="K65" s="169"/>
      <c r="L65" s="169"/>
    </row>
    <row r="66" spans="1:12" ht="15">
      <c r="A66" s="169"/>
      <c r="B66" s="169"/>
      <c r="C66" s="169"/>
      <c r="D66" s="169"/>
      <c r="J66" s="169"/>
      <c r="K66" s="169"/>
      <c r="L66" s="169"/>
    </row>
    <row r="67" spans="1:12" ht="15">
      <c r="A67" s="169"/>
      <c r="B67" s="169"/>
      <c r="C67" s="169"/>
      <c r="D67" s="169"/>
      <c r="J67" s="169"/>
      <c r="K67" s="169"/>
      <c r="L67" s="169"/>
    </row>
    <row r="68" spans="1:12" ht="15">
      <c r="A68" s="169"/>
      <c r="B68" s="169"/>
      <c r="C68" s="169"/>
      <c r="D68" s="169"/>
      <c r="J68" s="169"/>
      <c r="K68" s="169"/>
      <c r="L68" s="169"/>
    </row>
    <row r="69" spans="1:12" ht="15">
      <c r="A69" s="169"/>
      <c r="B69" s="169"/>
      <c r="C69" s="169"/>
      <c r="D69" s="169"/>
      <c r="J69" s="169"/>
      <c r="K69" s="169"/>
      <c r="L69" s="169"/>
    </row>
    <row r="70" spans="1:12" ht="15">
      <c r="A70" s="169"/>
      <c r="B70" s="169"/>
      <c r="C70" s="169"/>
      <c r="D70" s="169"/>
      <c r="J70" s="169"/>
      <c r="K70" s="169"/>
      <c r="L70" s="169"/>
    </row>
    <row r="71" spans="1:12" ht="15">
      <c r="A71" s="169"/>
      <c r="B71" s="169"/>
      <c r="C71" s="169"/>
      <c r="D71" s="169"/>
      <c r="J71" s="169"/>
      <c r="K71" s="169"/>
      <c r="L71" s="169"/>
    </row>
    <row r="72" spans="1:12" ht="15">
      <c r="A72" s="169"/>
      <c r="B72" s="169"/>
      <c r="C72" s="169"/>
      <c r="D72" s="169"/>
      <c r="J72" s="169"/>
      <c r="K72" s="169"/>
      <c r="L72" s="169"/>
    </row>
    <row r="73" spans="1:12" ht="15">
      <c r="A73" s="169"/>
      <c r="B73" s="169"/>
      <c r="C73" s="169"/>
      <c r="D73" s="169"/>
      <c r="J73" s="169"/>
      <c r="K73" s="169"/>
      <c r="L73" s="169"/>
    </row>
    <row r="74" spans="1:12" ht="15">
      <c r="A74" s="169"/>
      <c r="B74" s="169"/>
      <c r="C74" s="169"/>
      <c r="D74" s="169"/>
      <c r="J74" s="169"/>
      <c r="K74" s="169"/>
      <c r="L74" s="169"/>
    </row>
    <row r="75" spans="1:12" ht="15">
      <c r="A75" s="169"/>
      <c r="B75" s="169"/>
      <c r="C75" s="169"/>
      <c r="D75" s="169"/>
      <c r="J75" s="169"/>
      <c r="K75" s="169"/>
      <c r="L75" s="169"/>
    </row>
    <row r="76" spans="1:12" ht="15">
      <c r="A76" s="169"/>
      <c r="B76" s="169"/>
      <c r="C76" s="169"/>
      <c r="D76" s="169"/>
      <c r="J76" s="169"/>
      <c r="K76" s="169"/>
      <c r="L76" s="169"/>
    </row>
    <row r="77" spans="1:12" ht="15">
      <c r="A77" s="169"/>
      <c r="B77" s="169"/>
      <c r="C77" s="169"/>
      <c r="D77" s="169"/>
      <c r="J77" s="169"/>
      <c r="K77" s="169"/>
      <c r="L77" s="169"/>
    </row>
    <row r="78" spans="1:12" ht="15">
      <c r="A78" s="169"/>
      <c r="B78" s="169"/>
      <c r="C78" s="169"/>
      <c r="D78" s="169"/>
      <c r="J78" s="169"/>
      <c r="K78" s="169"/>
      <c r="L78" s="169"/>
    </row>
    <row r="79" spans="1:12" ht="15">
      <c r="A79" s="169"/>
      <c r="B79" s="169"/>
      <c r="C79" s="169"/>
      <c r="D79" s="169"/>
      <c r="J79" s="169"/>
      <c r="K79" s="169"/>
      <c r="L79" s="169"/>
    </row>
    <row r="80" spans="1:12" ht="15">
      <c r="A80" s="169"/>
      <c r="B80" s="169"/>
      <c r="C80" s="169"/>
      <c r="D80" s="169"/>
      <c r="J80" s="169"/>
      <c r="K80" s="169"/>
      <c r="L80" s="169"/>
    </row>
    <row r="81" spans="1:12" ht="15">
      <c r="A81" s="169"/>
      <c r="B81" s="169"/>
      <c r="C81" s="169"/>
      <c r="D81" s="169"/>
      <c r="J81" s="169"/>
      <c r="K81" s="169"/>
      <c r="L81" s="169"/>
    </row>
    <row r="82" spans="1:12" ht="15">
      <c r="A82" s="169"/>
      <c r="B82" s="169"/>
      <c r="C82" s="169"/>
      <c r="D82" s="169"/>
      <c r="J82" s="169"/>
      <c r="K82" s="169"/>
      <c r="L82" s="169"/>
    </row>
    <row r="83" spans="1:12" ht="15">
      <c r="A83" s="169"/>
      <c r="B83" s="169"/>
      <c r="C83" s="169"/>
      <c r="D83" s="169"/>
      <c r="J83" s="169"/>
      <c r="K83" s="169"/>
      <c r="L83" s="169"/>
    </row>
    <row r="84" spans="1:12" ht="15">
      <c r="A84" s="169"/>
      <c r="B84" s="169"/>
      <c r="C84" s="169"/>
      <c r="D84" s="169"/>
      <c r="J84" s="169"/>
      <c r="K84" s="169"/>
      <c r="L84" s="169"/>
    </row>
    <row r="85" spans="1:12" ht="15">
      <c r="A85" s="169"/>
      <c r="B85" s="169"/>
      <c r="C85" s="169"/>
      <c r="D85" s="169"/>
      <c r="J85" s="169"/>
      <c r="K85" s="169"/>
      <c r="L85" s="169"/>
    </row>
    <row r="86" spans="1:12" ht="15">
      <c r="A86" s="169"/>
      <c r="B86" s="169"/>
      <c r="C86" s="169"/>
      <c r="D86" s="169"/>
      <c r="J86" s="169"/>
      <c r="K86" s="169"/>
      <c r="L86" s="169"/>
    </row>
    <row r="87" spans="1:12" ht="15">
      <c r="A87" s="169"/>
      <c r="B87" s="169"/>
      <c r="C87" s="169"/>
      <c r="D87" s="169"/>
      <c r="J87" s="169"/>
      <c r="K87" s="169"/>
      <c r="L87" s="169"/>
    </row>
    <row r="88" spans="1:12" ht="15">
      <c r="A88" s="169"/>
      <c r="B88" s="169"/>
      <c r="C88" s="169"/>
      <c r="D88" s="169"/>
      <c r="J88" s="169"/>
      <c r="K88" s="169"/>
      <c r="L88" s="169"/>
    </row>
    <row r="89" spans="1:12" ht="15">
      <c r="A89" s="169"/>
      <c r="B89" s="169"/>
      <c r="C89" s="169"/>
      <c r="D89" s="169"/>
      <c r="J89" s="169"/>
      <c r="K89" s="169"/>
      <c r="L89" s="169"/>
    </row>
    <row r="90" spans="1:12" ht="15">
      <c r="A90" s="169"/>
      <c r="B90" s="169"/>
      <c r="C90" s="169"/>
      <c r="D90" s="169"/>
      <c r="J90" s="169"/>
      <c r="K90" s="169"/>
      <c r="L90" s="169"/>
    </row>
    <row r="91" spans="1:12" ht="15">
      <c r="A91" s="169"/>
      <c r="B91" s="169"/>
      <c r="C91" s="169"/>
      <c r="D91" s="169"/>
      <c r="J91" s="169"/>
      <c r="K91" s="169"/>
      <c r="L91" s="169"/>
    </row>
    <row r="92" spans="1:12" ht="15">
      <c r="A92" s="169"/>
      <c r="B92" s="169"/>
      <c r="C92" s="169"/>
      <c r="D92" s="169"/>
      <c r="J92" s="169"/>
      <c r="K92" s="169"/>
      <c r="L92" s="169"/>
    </row>
    <row r="93" spans="1:12" ht="15">
      <c r="A93" s="169"/>
      <c r="B93" s="169"/>
      <c r="C93" s="169"/>
      <c r="D93" s="169"/>
      <c r="J93" s="169"/>
      <c r="K93" s="169"/>
      <c r="L93" s="169"/>
    </row>
    <row r="94" spans="1:12" ht="15">
      <c r="A94" s="169"/>
      <c r="B94" s="169"/>
      <c r="C94" s="169"/>
      <c r="D94" s="169"/>
      <c r="J94" s="169"/>
      <c r="K94" s="169"/>
      <c r="L94" s="169"/>
    </row>
    <row r="95" spans="1:12" ht="15">
      <c r="A95" s="169"/>
      <c r="B95" s="169"/>
      <c r="C95" s="169"/>
      <c r="D95" s="169"/>
      <c r="J95" s="169"/>
      <c r="K95" s="169"/>
      <c r="L95" s="169"/>
    </row>
    <row r="96" spans="1:12" ht="15">
      <c r="A96" s="169"/>
      <c r="B96" s="169"/>
      <c r="C96" s="169"/>
      <c r="D96" s="169"/>
      <c r="J96" s="169"/>
      <c r="K96" s="169"/>
      <c r="L96" s="169"/>
    </row>
    <row r="97" spans="1:12" ht="15">
      <c r="A97" s="169"/>
      <c r="B97" s="169"/>
      <c r="C97" s="169"/>
      <c r="D97" s="169"/>
      <c r="J97" s="169"/>
      <c r="K97" s="169"/>
      <c r="L97" s="169"/>
    </row>
    <row r="98" spans="1:12" ht="15">
      <c r="A98" s="169"/>
      <c r="B98" s="169"/>
      <c r="C98" s="169"/>
      <c r="D98" s="169"/>
      <c r="J98" s="169"/>
      <c r="K98" s="169"/>
      <c r="L98" s="169"/>
    </row>
    <row r="99" spans="1:12" ht="15">
      <c r="A99" s="169"/>
      <c r="B99" s="169"/>
      <c r="C99" s="169"/>
      <c r="D99" s="169"/>
      <c r="J99" s="169"/>
      <c r="K99" s="169"/>
      <c r="L99" s="169"/>
    </row>
    <row r="100" spans="1:12" ht="15">
      <c r="A100" s="169"/>
      <c r="B100" s="169"/>
      <c r="C100" s="169"/>
      <c r="D100" s="169"/>
      <c r="J100" s="169"/>
      <c r="K100" s="169"/>
      <c r="L100" s="1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Dhuyvetter</dc:creator>
  <cp:keywords/>
  <dc:description/>
  <cp:lastModifiedBy>Llewelyn</cp:lastModifiedBy>
  <cp:lastPrinted>2012-12-21T17:20:07Z</cp:lastPrinted>
  <dcterms:created xsi:type="dcterms:W3CDTF">2000-02-06T22:07:30Z</dcterms:created>
  <dcterms:modified xsi:type="dcterms:W3CDTF">2016-06-29T16:50:05Z</dcterms:modified>
  <cp:category/>
  <cp:version/>
  <cp:contentType/>
  <cp:contentStatus/>
</cp:coreProperties>
</file>