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2" activeTab="2"/>
  </bookViews>
  <sheets>
    <sheet name="CBTJulyCorn" sheetId="1" r:id="rId1"/>
    <sheet name="Annual Data" sheetId="2" r:id="rId2"/>
    <sheet name="Annual Raw Data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2" hidden="1">'Annual Raw Data'!$X$2</definedName>
    <definedName name="_xlnm.Print_Area" localSheetId="2">'Annual Raw Data'!$C$8:$AC$46</definedName>
    <definedName name="_xlnm.Print_Titles" localSheetId="2">'Annual Raw Data'!$B:$B,'Annual Raw Data'!$3:$7</definedName>
    <definedName name="Swvu.Corn._.Balance._.Sheets." localSheetId="2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2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2" hidden="1">'Annual Raw Data'!$C$8:$AB$46</definedName>
    <definedName name="Z_229BC980_8CB2_11D5_8DDE_9BD9C45A2C7F_.wvu.PrintTitles" localSheetId="2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<sst xmlns="http://schemas.openxmlformats.org/spreadsheetml/2006/main" count="522" uniqueCount="281">
  <si>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</si>
  <si>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</si>
  <si>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</si>
  <si>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</si>
  <si>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</si>
  <si>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</si>
  <si>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</si>
  <si>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</si>
  <si>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</si>
  <si>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</si>
  <si>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</si>
  <si>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</si>
  <si>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</si>
  <si>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</si>
  <si>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</si>
  <si>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</si>
  <si>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</si>
  <si>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</si>
  <si>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</si>
  <si>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</si>
  <si>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</si>
  <si>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</si>
  <si>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</si>
  <si>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</si>
  <si>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</si>
  <si>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</si>
  <si>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</si>
  <si>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</si>
  <si>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</si>
  <si>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</si>
  <si>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</si>
  <si>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</si>
  <si>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</si>
  <si>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</si>
  <si>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</si>
  <si>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</si>
  <si>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</si>
  <si>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</si>
  <si>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</si>
  <si>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</si>
  <si>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</si>
  <si>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</si>
  <si>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</si>
  <si>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</si>
  <si>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</si>
  <si>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</si>
  <si>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</si>
  <si>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</si>
  <si>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</si>
  <si>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</si>
  <si>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</si>
  <si>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</si>
  <si>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</si>
  <si>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</si>
  <si>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</si>
  <si>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</si>
  <si>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</si>
  <si>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</si>
  <si>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</si>
  <si>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</si>
  <si>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</si>
  <si>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</si>
  <si>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</si>
  <si>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</si>
  <si>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</si>
  <si>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</si>
  <si>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</si>
  <si>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</si>
  <si>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</si>
  <si>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</si>
  <si>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</si>
  <si>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</si>
  <si>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</si>
  <si>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</si>
  <si>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</si>
  <si>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</si>
  <si>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</si>
  <si>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</si>
  <si>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</si>
  <si>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</si>
  <si>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</si>
  <si>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</si>
  <si>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</si>
  <si>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</si>
  <si>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</si>
  <si>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</si>
  <si>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</si>
  <si>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</si>
  <si>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</si>
  <si>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</si>
  <si>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</si>
  <si>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</si>
  <si>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</si>
  <si>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</si>
  <si>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</si>
  <si>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</si>
  <si>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</si>
  <si>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</si>
  <si>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</si>
  <si>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</si>
  <si>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</si>
  <si>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</si>
  <si>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</si>
  <si>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</si>
  <si>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</si>
  <si>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</si>
  <si>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</si>
  <si>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</si>
  <si>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</si>
  <si>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</si>
  <si>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</si>
  <si>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</si>
  <si>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</si>
  <si>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</si>
  <si>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</si>
  <si>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</si>
  <si>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</si>
  <si>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</si>
  <si>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</si>
  <si>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</si>
  <si>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</si>
  <si>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</si>
  <si>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</si>
  <si>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</si>
  <si>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</si>
  <si>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</si>
  <si>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</si>
  <si>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</si>
  <si>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</si>
  <si>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</si>
  <si>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</si>
  <si>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</si>
  <si>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</si>
  <si>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</si>
  <si>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</si>
  <si>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</si>
  <si>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</si>
  <si>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</si>
  <si>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</si>
  <si>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</si>
  <si>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</si>
  <si>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</si>
  <si>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</si>
  <si>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</si>
  <si>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</si>
  <si>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</si>
  <si>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</si>
  <si>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</si>
  <si>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</si>
  <si>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</si>
  <si>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</si>
  <si>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</si>
  <si>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</si>
  <si>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</si>
  <si>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</si>
  <si>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</si>
  <si>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</si>
  <si>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</si>
  <si>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</si>
  <si>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</si>
  <si>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</si>
  <si>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</si>
  <si>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</si>
  <si>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</si>
  <si>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</si>
  <si>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</si>
  <si>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</si>
  <si>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</si>
  <si>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</si>
  <si>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</si>
  <si>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</si>
  <si>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</si>
  <si>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</si>
  <si>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</si>
  <si>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</si>
  <si>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</si>
  <si>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</si>
  <si>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</si>
  <si>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</si>
  <si>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</si>
  <si>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</si>
  <si>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</si>
  <si>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</si>
  <si>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</si>
  <si>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</si>
  <si>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</si>
  <si>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</si>
  <si>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</si>
  <si>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</si>
  <si>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</si>
  <si>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</si>
  <si>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</si>
  <si>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</si>
  <si>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</si>
  <si>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</si>
  <si>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</si>
  <si>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</si>
  <si>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</si>
  <si>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</si>
  <si>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</si>
  <si>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</si>
  <si>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</si>
  <si>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</si>
  <si>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</si>
  <si>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</si>
  <si>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</si>
  <si>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</si>
  <si>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</si>
  <si>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</si>
  <si>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</si>
  <si>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</si>
  <si>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</si>
  <si>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</si>
  <si>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</si>
  <si>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</si>
  <si>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</si>
  <si>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</si>
  <si>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</si>
  <si>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</si>
  <si>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</si>
  <si>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</si>
  <si>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</si>
  <si>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</si>
  <si>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</si>
  <si>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</si>
  <si>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</si>
  <si>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</si>
  <si>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</si>
  <si>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</si>
  <si>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</si>
  <si>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</si>
  <si>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</si>
  <si>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</si>
  <si>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</si>
  <si>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</si>
  <si>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</si>
  <si>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</si>
  <si>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</si>
  <si>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</si>
  <si>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</si>
  <si>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</si>
  <si>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</si>
  <si>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</si>
  <si>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</si>
  <si>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</si>
  <si>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</si>
  <si>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</si>
  <si>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</si>
  <si>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</si>
  <si>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</si>
  <si>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</si>
  <si>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</si>
  <si>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</si>
  <si>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</si>
  <si>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</si>
  <si>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</si>
  <si>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</si>
  <si>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</si>
  <si>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</si>
  <si>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</si>
  <si>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</si>
  <si>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</si>
  <si>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</si>
  <si>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</si>
  <si>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</si>
  <si>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</si>
  <si>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</si>
  <si>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</si>
  <si>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</si>
  <si>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</si>
  <si>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</si>
  <si>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</si>
  <si>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</si>
  <si>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</si>
  <si>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</si>
  <si>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</si>
  <si>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</si>
  <si>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</si>
  <si>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</si>
  <si>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10.12.21</t>
  </si>
  <si>
    <t>Source:  USDA WASDE Report 10.12.21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</si>
</sst>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  <numFmt numFmtId="204" formatCode="[$-409]dddd\,\ mmmm\ d\,\ yyyy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6" fontId="13" fillId="0" borderId="0" xfId="42" applyNumberFormat="1" applyFont="1" applyFill="1" applyAlignment="1">
      <alignment/>
    </xf>
    <xf numFmtId="183" fontId="13" fillId="0" borderId="0" xfId="59" applyNumberFormat="1" applyFont="1" applyFill="1" applyAlignment="1">
      <alignment/>
    </xf>
    <xf numFmtId="187" fontId="20" fillId="0" borderId="0" xfId="42" applyNumberFormat="1" applyFont="1" applyFill="1" applyAlignment="1">
      <alignment horizontal="right"/>
    </xf>
    <xf numFmtId="202" fontId="13" fillId="0" borderId="0" xfId="42" applyNumberFormat="1" applyFont="1" applyFill="1" applyAlignment="1">
      <alignment/>
    </xf>
    <xf numFmtId="3" fontId="13" fillId="0" borderId="0" xfId="42" applyNumberFormat="1" applyFont="1" applyFill="1" applyAlignment="1">
      <alignment/>
    </xf>
    <xf numFmtId="187" fontId="20" fillId="0" borderId="0" xfId="42" applyNumberFormat="1" applyFont="1" applyFill="1" applyBorder="1" applyAlignment="1" applyProtection="1">
      <alignment/>
      <protection/>
    </xf>
    <xf numFmtId="186" fontId="13" fillId="41" borderId="0" xfId="42" applyNumberFormat="1" applyFont="1" applyFill="1" applyAlignment="1">
      <alignment/>
    </xf>
    <xf numFmtId="186" fontId="13" fillId="41" borderId="0" xfId="42" applyNumberFormat="1" applyFont="1" applyFill="1" applyAlignment="1">
      <alignment horizontal="right"/>
    </xf>
    <xf numFmtId="183" fontId="13" fillId="41" borderId="0" xfId="59" applyNumberFormat="1" applyFont="1" applyFill="1" applyAlignment="1">
      <alignment/>
    </xf>
    <xf numFmtId="187" fontId="20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/>
    </xf>
    <xf numFmtId="202" fontId="13" fillId="41" borderId="0" xfId="42" applyNumberFormat="1" applyFont="1" applyFill="1" applyAlignment="1">
      <alignment/>
    </xf>
    <xf numFmtId="3" fontId="13" fillId="41" borderId="0" xfId="42" applyNumberFormat="1" applyFont="1" applyFill="1" applyAlignment="1">
      <alignment/>
    </xf>
    <xf numFmtId="9" fontId="13" fillId="41" borderId="0" xfId="59" applyFont="1" applyFill="1" applyAlignment="1">
      <alignment/>
    </xf>
    <xf numFmtId="187" fontId="20" fillId="41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Data'!$H$55:$H$103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14111</c:v>
                </c:pt>
                <c:pt idx="48">
                  <c:v>15019</c:v>
                </c:pt>
              </c:numCache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5567"/>
        <c:crosses val="autoZero"/>
        <c:auto val="1"/>
        <c:lblOffset val="100"/>
        <c:tickLblSkip val="3"/>
        <c:noMultiLvlLbl val="0"/>
      </c:catAx>
      <c:valAx>
        <c:axId val="40895567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  <c:pt idx="48">
                  <c:v>5650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6705241"/>
        <c:crosses val="autoZero"/>
        <c:auto val="0"/>
        <c:lblOffset val="100"/>
        <c:tickLblSkip val="3"/>
        <c:tickMarkSkip val="2"/>
        <c:noMultiLvlLbl val="0"/>
      </c:catAx>
      <c:valAx>
        <c:axId val="667052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150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0.08340643768135501</c:v>
                </c:pt>
                <c:pt idx="48">
                  <c:v>0.10148849797023005</c:v>
                </c:pt>
              </c:numCache>
            </c:numRef>
          </c:val>
        </c:ser>
        <c:axId val="63476258"/>
        <c:axId val="34415411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val>
          <c:smooth val="0"/>
        </c:ser>
        <c:axId val="41303244"/>
        <c:axId val="36184877"/>
      </c:line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415411"/>
        <c:crosses val="autoZero"/>
        <c:auto val="0"/>
        <c:lblOffset val="100"/>
        <c:tickLblSkip val="3"/>
        <c:tickMarkSkip val="2"/>
        <c:noMultiLvlLbl val="0"/>
      </c:catAx>
      <c:valAx>
        <c:axId val="3441541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catAx>
        <c:axId val="4130324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84877"/>
        <c:crosses val="autoZero"/>
        <c:auto val="0"/>
        <c:lblOffset val="100"/>
        <c:tickLblSkip val="1"/>
        <c:noMultiLvlLbl val="0"/>
      </c:catAx>
      <c:valAx>
        <c:axId val="36184877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30324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Data'!$Q$55:$Q$103</c:f>
              <c:numCache>
                <c:ptCount val="49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1777</c:v>
                </c:pt>
                <c:pt idx="47">
                  <c:v>2753</c:v>
                </c:pt>
                <c:pt idx="48">
                  <c:v>2500</c:v>
                </c:pt>
              </c:numCache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293895"/>
        <c:crosses val="autoZero"/>
        <c:auto val="0"/>
        <c:lblOffset val="100"/>
        <c:tickLblSkip val="3"/>
        <c:tickMarkSkip val="2"/>
        <c:noMultiLvlLbl val="0"/>
      </c:catAx>
      <c:valAx>
        <c:axId val="45293895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2284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926849"/>
        <c:crosses val="autoZero"/>
        <c:auto val="0"/>
        <c:lblOffset val="100"/>
        <c:tickLblSkip val="3"/>
        <c:tickMarkSkip val="2"/>
        <c:noMultiLvlLbl val="0"/>
      </c:catAx>
      <c:valAx>
        <c:axId val="449268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1872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  <c:pt idx="48">
                  <c:v>5650</c:v>
                </c:pt>
              </c:numCache>
            </c:numRef>
          </c:xVal>
          <c:y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</c:numCache>
            </c:numRef>
          </c:xVal>
          <c:yVal>
            <c:numRef>
              <c:f>'Annual Data'!$D$55:$D$103</c:f>
              <c:num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numCache>
            </c:numRef>
          </c:yVal>
          <c:smooth val="0"/>
        </c:ser>
        <c:axId val="1688458"/>
        <c:axId val="15196123"/>
      </c:scatterChart>
      <c:valAx>
        <c:axId val="168845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196123"/>
        <c:crosses val="autoZero"/>
        <c:crossBetween val="midCat"/>
        <c:dispUnits/>
      </c:valAx>
      <c:valAx>
        <c:axId val="15196123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Data'!$S$55:$S$103</c:f>
              <c:numCache>
                <c:ptCount val="49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1919</c:v>
                </c:pt>
                <c:pt idx="47">
                  <c:v>1236</c:v>
                </c:pt>
                <c:pt idx="48">
                  <c:v>1500</c:v>
                </c:pt>
              </c:numCache>
            </c:numRef>
          </c:val>
        </c:ser>
        <c:axId val="2547380"/>
        <c:axId val="22926421"/>
      </c:bar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2926421"/>
        <c:crosses val="autoZero"/>
        <c:auto val="0"/>
        <c:lblOffset val="100"/>
        <c:tickLblSkip val="3"/>
        <c:tickMarkSkip val="2"/>
        <c:noMultiLvlLbl val="0"/>
      </c:catAx>
      <c:valAx>
        <c:axId val="2292642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47380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445"/>
          <c:w val="0.82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Data'!$AG$55:$AG$103</c:f>
              <c:numCache>
                <c:ptCount val="49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0.4615271659324523</c:v>
                </c:pt>
                <c:pt idx="47">
                  <c:v>0.4584366806037843</c:v>
                </c:pt>
                <c:pt idx="48">
                  <c:v>0.4414408416006392</c:v>
                </c:pt>
              </c:numCache>
            </c:numRef>
          </c:val>
        </c:ser>
        <c:axId val="5011198"/>
        <c:axId val="45100783"/>
      </c:barChart>
      <c:cat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 val="autoZero"/>
        <c:auto val="0"/>
        <c:lblOffset val="100"/>
        <c:tickLblSkip val="3"/>
        <c:noMultiLvlLbl val="0"/>
      </c:catAx>
      <c:valAx>
        <c:axId val="45100783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11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385"/>
          <c:w val="0.90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0.35660123308057545</c:v>
                </c:pt>
                <c:pt idx="19">
                  <c:v>0.34622811105932483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Data'!$AH$84:$AH$103</c:f>
              <c:numCache>
                <c:ptCount val="20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0.4331864904552129</c:v>
                </c:pt>
                <c:pt idx="18">
                  <c:v>0.3966409184324286</c:v>
                </c:pt>
                <c:pt idx="19">
                  <c:v>0.37619015913176646</c:v>
                </c:pt>
              </c:numCache>
            </c:numRef>
          </c:val>
        </c:ser>
        <c:axId val="3253864"/>
        <c:axId val="29284777"/>
      </c:bar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 val="autoZero"/>
        <c:auto val="0"/>
        <c:lblOffset val="100"/>
        <c:tickLblSkip val="1"/>
        <c:noMultiLvlLbl val="0"/>
      </c:catAx>
      <c:valAx>
        <c:axId val="29284777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8825"/>
          <c:w val="0.871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Data'!$N$84:$N$103</c:f>
              <c:numCache>
                <c:ptCount val="20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4857</c:v>
                </c:pt>
                <c:pt idx="18">
                  <c:v>5032</c:v>
                </c:pt>
                <c:pt idx="19">
                  <c:v>5200</c:v>
                </c:pt>
              </c:numCache>
            </c:numRef>
          </c:val>
        </c:ser>
        <c:axId val="62236402"/>
        <c:axId val="23256707"/>
      </c:bar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56707"/>
        <c:crosses val="autoZero"/>
        <c:auto val="0"/>
        <c:lblOffset val="100"/>
        <c:tickLblSkip val="1"/>
        <c:noMultiLvlLbl val="0"/>
      </c:catAx>
      <c:valAx>
        <c:axId val="23256707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3475"/>
          <c:w val="0.934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0.35660123308057545</c:v>
                </c:pt>
                <c:pt idx="19">
                  <c:v>0.34622811105932483</c:v>
                </c:pt>
              </c:numCache>
            </c:numRef>
          </c:val>
        </c:ser>
        <c:axId val="7983772"/>
        <c:axId val="4745085"/>
      </c:barChart>
      <c:cat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 val="autoZero"/>
        <c:auto val="0"/>
        <c:lblOffset val="100"/>
        <c:tickLblSkip val="1"/>
        <c:noMultiLvlLbl val="0"/>
      </c:catAx>
      <c:valAx>
        <c:axId val="474508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Data'!$AQ$55:$AQ$103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14106.22</c:v>
                </c:pt>
                <c:pt idx="48">
                  <c:v>10476.661</c:v>
                </c:pt>
              </c:numCache>
            </c:numRef>
          </c:val>
        </c:ser>
        <c:axId val="32515784"/>
        <c:axId val="24206601"/>
      </c:barChart>
      <c:cat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 val="autoZero"/>
        <c:auto val="1"/>
        <c:lblOffset val="100"/>
        <c:tickLblSkip val="3"/>
        <c:noMultiLvlLbl val="0"/>
      </c:catAx>
      <c:valAx>
        <c:axId val="2420660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5597</c:v>
                </c:pt>
                <c:pt idx="48">
                  <c:v>5650</c:v>
                </c:pt>
              </c:numCache>
            </c:numRef>
          </c:val>
        </c:ser>
        <c:axId val="42705766"/>
        <c:axId val="48807575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4.53</c:v>
                </c:pt>
                <c:pt idx="48">
                  <c:v>5.45</c:v>
                </c:pt>
              </c:numCache>
            </c:numRef>
          </c:val>
          <c:smooth val="0"/>
        </c:ser>
        <c:axId val="36614992"/>
        <c:axId val="61099473"/>
      </c:lineChart>
      <c:catAx>
        <c:axId val="4270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07575"/>
        <c:crosses val="autoZero"/>
        <c:auto val="0"/>
        <c:lblOffset val="100"/>
        <c:tickLblSkip val="3"/>
        <c:tickMarkSkip val="3"/>
        <c:noMultiLvlLbl val="0"/>
      </c:catAx>
      <c:valAx>
        <c:axId val="48807575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705766"/>
        <c:crossesAt val="1"/>
        <c:crossBetween val="between"/>
        <c:dispUnits/>
      </c:valAx>
      <c:catAx>
        <c:axId val="3661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61099473"/>
        <c:crosses val="autoZero"/>
        <c:auto val="0"/>
        <c:lblOffset val="100"/>
        <c:tickLblSkip val="1"/>
        <c:noMultiLvlLbl val="0"/>
      </c:catAx>
      <c:valAx>
        <c:axId val="61099473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Data'!$CA$55:$CA$103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14525.95</c:v>
                </c:pt>
                <c:pt idx="48">
                  <c:v>15028.66</c:v>
                </c:pt>
              </c:numCache>
            </c:numRef>
          </c:val>
        </c:ser>
        <c:axId val="16532818"/>
        <c:axId val="14577635"/>
      </c:bar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 val="autoZero"/>
        <c:auto val="1"/>
        <c:lblOffset val="100"/>
        <c:tickLblSkip val="3"/>
        <c:noMultiLvlLbl val="0"/>
      </c:catAx>
      <c:valAx>
        <c:axId val="14577635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Data'!$M$55:$M$103</c:f>
              <c:numCache>
                <c:ptCount val="49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6286</c:v>
                </c:pt>
                <c:pt idx="47">
                  <c:v>6469</c:v>
                </c:pt>
                <c:pt idx="48">
                  <c:v>6630</c:v>
                </c:pt>
              </c:numCache>
            </c:numRef>
          </c:val>
        </c:ser>
        <c:axId val="64089852"/>
        <c:axId val="39937757"/>
      </c:bar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 val="autoZero"/>
        <c:auto val="0"/>
        <c:lblOffset val="100"/>
        <c:tickLblSkip val="3"/>
        <c:noMultiLvlLbl val="0"/>
      </c:catAx>
      <c:valAx>
        <c:axId val="39937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0.08340643768135501</c:v>
                </c:pt>
                <c:pt idx="48">
                  <c:v>0.10148849797023005</c:v>
                </c:pt>
              </c:numCache>
            </c:numRef>
          </c:val>
        </c:ser>
        <c:axId val="23895494"/>
        <c:axId val="13732855"/>
      </c:bar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732855"/>
        <c:crosses val="autoZero"/>
        <c:auto val="0"/>
        <c:lblOffset val="100"/>
        <c:tickLblSkip val="3"/>
        <c:tickMarkSkip val="2"/>
        <c:noMultiLvlLbl val="0"/>
      </c:catAx>
      <c:valAx>
        <c:axId val="13732855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8954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Data'!$G$52:$G$103</c:f>
              <c:numCache>
                <c:ptCount val="52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171.4</c:v>
                </c:pt>
                <c:pt idx="51">
                  <c:v>176.5</c:v>
                </c:pt>
              </c:numCache>
            </c:numRef>
          </c:val>
        </c:ser>
        <c:axId val="56486832"/>
        <c:axId val="38619441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Data'!$D$52:$D$103</c:f>
              <c:strCache>
                <c:ptCount val="52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</c:strCache>
            </c:strRef>
          </c:cat>
          <c:val>
            <c:numRef>
              <c:f>'Annual Data'!$AE$52:$AE$103</c:f>
              <c:numCache>
                <c:ptCount val="52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  <c:pt idx="51">
                  <c:v>187.5786486655079</c:v>
                </c:pt>
              </c:numCache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8619441"/>
        <c:crosses val="autoZero"/>
        <c:auto val="0"/>
        <c:lblOffset val="100"/>
        <c:tickLblSkip val="4"/>
        <c:tickMarkSkip val="5"/>
        <c:noMultiLvlLbl val="0"/>
      </c:catAx>
      <c:valAx>
        <c:axId val="38619441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48683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Data'!$D$22:$D$103</c:f>
              <c:strCache>
                <c:ptCount val="8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</c:strCache>
            </c:strRef>
          </c:cat>
          <c:val>
            <c:numRef>
              <c:f>'Annual Data'!$E$22:$E$103</c:f>
              <c:numCache>
                <c:ptCount val="82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90700</c:v>
                </c:pt>
                <c:pt idx="81">
                  <c:v>93300</c:v>
                </c:pt>
              </c:numCache>
            </c:numRef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1166987"/>
        <c:crosses val="autoZero"/>
        <c:auto val="0"/>
        <c:lblOffset val="100"/>
        <c:tickLblSkip val="5"/>
        <c:tickMarkSkip val="5"/>
        <c:noMultiLvlLbl val="0"/>
      </c:catAx>
      <c:valAx>
        <c:axId val="41166987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0306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Data'!$K$55:$K$103</c:f>
              <c:numCache>
                <c:ptCount val="49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16055</c:v>
                </c:pt>
                <c:pt idx="48">
                  <c:v>16280</c:v>
                </c:pt>
              </c:numCache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191621"/>
        <c:crosses val="autoZero"/>
        <c:auto val="0"/>
        <c:lblOffset val="100"/>
        <c:tickLblSkip val="3"/>
        <c:tickMarkSkip val="2"/>
        <c:noMultiLvlLbl val="0"/>
      </c:catAx>
      <c:valAx>
        <c:axId val="46191621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9585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Data'!$R$55:$R$103</c:f>
              <c:numCache>
                <c:ptCount val="49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13963</c:v>
                </c:pt>
                <c:pt idx="47">
                  <c:v>14819</c:v>
                </c:pt>
                <c:pt idx="48">
                  <c:v>14780</c:v>
                </c:pt>
              </c:numCache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533791"/>
        <c:crosses val="autoZero"/>
        <c:auto val="0"/>
        <c:lblOffset val="100"/>
        <c:tickLblSkip val="3"/>
        <c:tickMarkSkip val="2"/>
        <c:noMultiLvlLbl val="0"/>
      </c:catAx>
      <c:valAx>
        <c:axId val="505337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bb1201-9907-4681-ba35-f41b9842db61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93.3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172.0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USDA Estimated Yield=176.3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e92350b-eee3-4f84-939a-47dbd1b2db77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24150" y="3286125"/>
          <a:ext cx="2828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bdca415-4eda-4442-b8f2-0397d1b57750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514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2</xdr:row>
      <xdr:rowOff>28575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33600" y="3524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planted acreage = 93.3 m. acres</a:t>
          </a:r>
        </a:p>
      </xdr:txBody>
    </xdr:sp>
    <xdr:clientData/>
  </xdr:oneCellAnchor>
  <xdr:oneCellAnchor>
    <xdr:from>
      <xdr:col>2</xdr:col>
      <xdr:colOff>523875</xdr:colOff>
      <xdr:row>4</xdr:row>
      <xdr:rowOff>57150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743075" y="704850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90.8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93.3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1238346-8953-46de-8805-654249773e9a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3b843d7-1abd-4e24-a4bc-28872b8eb74c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e0212de-edde-4af3-b0c0-7a37df988493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5ad5f74-acff-4c32-a5c4-d0ae0e6e8807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387f5f6-a5da-4d67-9361-e6d02129f784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b9c2f2-ce97-4948-baca-934fc1faac7c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cd0bc94-7759-4364-a04c-8c9eff0f88f6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USDA estimated yield of 176.3 bu./acre &amp; 93.3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3450abf-2622-44e0-9933-3ee3dae5f4ff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f3998c-3ba1-4f51-8609-165466a3b12e}" type="TxLink">
            <a:rPr lang="en-US" cap="none" sz="1100" b="1" i="0" u="none" baseline="0">
              <a:solidFill>
                <a:srgbClr val="000000"/>
              </a:solidFill>
            </a:rPr>
            <a:t>Source:  USDA WASDE Report 10.12.21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</cdr:x>
      <cdr:y>0.98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19425" y="3324225"/>
          <a:ext cx="2505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-0.012</cdr:x>
      <cdr:y>0.98175</cdr:y>
    </cdr:from>
    <cdr:to>
      <cdr:x>-0.012</cdr:x>
      <cdr:y>0.9815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33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6431ed0-c9c6-47a3-b192-7ecfc331fa32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0.96325</cdr:y>
    </cdr:from>
    <cdr:to>
      <cdr:x>0.7365</cdr:x>
      <cdr:y>0.96325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372600" y="65913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0.97775</cdr:y>
    </cdr:from>
    <cdr:to>
      <cdr:x>0.59575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96075"/>
          <a:ext cx="75914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725cc2-f791-4305-aced-5c51b49845be}" type="TxLink">
            <a:rPr lang="en-US" cap="none" sz="1100" b="1" i="0" u="none" baseline="0">
              <a:solidFill>
                <a:srgbClr val="000000"/>
              </a:solidFill>
            </a:rPr>
            <a:t>Source:  USDA WASDE Report 10.12.21 &amp; K-State Ag. Econ. Dept.</a:t>
          </a:fld>
        </a:p>
      </cdr:txBody>
    </cdr:sp>
  </cdr:relSizeAnchor>
  <cdr:relSizeAnchor xmlns:cdr="http://schemas.openxmlformats.org/drawingml/2006/chartDrawing">
    <cdr:from>
      <cdr:x>0.81725</cdr:x>
      <cdr:y>0.95875</cdr:y>
    </cdr:from>
    <cdr:to>
      <cdr:x>0.952</cdr:x>
      <cdr:y>0.98925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01300" y="6562725"/>
          <a:ext cx="17145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292bfe-492b-48c9-9991-fbc284638bba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</cdr:x>
      <cdr:y>0.96775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5143500"/>
          <a:ext cx="3209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0.984</cdr:y>
    </cdr:from>
    <cdr:to>
      <cdr:x>0.24425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38750"/>
          <a:ext cx="20955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5c642bf-3cf1-4b91-9948-447e84573f8b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09e7a8-a3b8-4f0d-8097-ef698be04c65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c6fe49f-4755-4e8e-87ed-2019b9bbd320}" type="TxLink">
            <a:rPr lang="en-US" cap="none" sz="1100" b="1" i="0" u="none" baseline="0">
              <a:solidFill>
                <a:srgbClr val="000000"/>
              </a:solidFill>
            </a:rPr>
            <a:t>Source:  USDA WASDE Report 10.12.21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5cc651-69e4-47ef-902e-125be3f40807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93.3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14cc9e-30a0-44c0-8fcc-498528ab3ac1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5">
      <selection activeCell="B58" sqref="B58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4" sqref="B104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3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3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Data'!BA34</f>
        <v>1658.1800000000003</v>
      </c>
      <c r="CM96" s="253">
        <f>'Annual Raw Data'!BA36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Data'!BA35</f>
        <v>0</v>
      </c>
      <c r="CM97" s="253">
        <f>'Annual Raw Data'!BA37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 aca="true" t="shared" si="215" ref="BM98:BM103"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6" ref="CE98:CK98">L98</f>
        <v>0</v>
      </c>
      <c r="CF98" s="62">
        <f t="shared" si="216"/>
        <v>6885</v>
      </c>
      <c r="CG98" s="62">
        <f t="shared" si="216"/>
        <v>5432</v>
      </c>
      <c r="CH98" s="62">
        <f t="shared" si="216"/>
        <v>5470</v>
      </c>
      <c r="CI98" s="62">
        <f t="shared" si="216"/>
        <v>12355</v>
      </c>
      <c r="CJ98" s="62">
        <f t="shared" si="216"/>
        <v>2294</v>
      </c>
      <c r="CK98" s="62">
        <f t="shared" si="216"/>
        <v>14649</v>
      </c>
      <c r="CL98" s="253">
        <f>'Annual Raw Data'!BA36</f>
        <v>0</v>
      </c>
      <c r="CM98" s="253">
        <f>'Annual Raw Data'!BA38</f>
        <v>0</v>
      </c>
      <c r="CN98" s="62">
        <f aca="true" t="shared" si="217" ref="CN98:DA98">U98</f>
        <v>0</v>
      </c>
      <c r="CO98" s="62">
        <f t="shared" si="217"/>
        <v>0</v>
      </c>
      <c r="CP98" s="62">
        <f t="shared" si="217"/>
        <v>0</v>
      </c>
      <c r="CQ98" s="62">
        <f t="shared" si="217"/>
        <v>0.15654813297836032</v>
      </c>
      <c r="CR98" s="62">
        <f t="shared" si="217"/>
        <v>3.36</v>
      </c>
      <c r="CS98" s="62">
        <f t="shared" si="217"/>
        <v>9.47</v>
      </c>
      <c r="CT98" s="62">
        <f t="shared" si="217"/>
        <v>2.8184523809523814</v>
      </c>
      <c r="CU98" s="62">
        <f t="shared" si="217"/>
        <v>0</v>
      </c>
      <c r="CV98" s="62">
        <f t="shared" si="217"/>
        <v>0</v>
      </c>
      <c r="CW98" s="62">
        <f t="shared" si="217"/>
        <v>0</v>
      </c>
      <c r="CX98" s="62">
        <f t="shared" si="217"/>
        <v>175.3204956895388</v>
      </c>
      <c r="CY98" s="62">
        <f t="shared" si="217"/>
        <v>0</v>
      </c>
      <c r="CZ98" s="62">
        <f t="shared" si="217"/>
        <v>0.45450723836939416</v>
      </c>
      <c r="DA98" s="62">
        <f t="shared" si="217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8" ref="AR99:BA99">I99</f>
        <v>2293</v>
      </c>
      <c r="AS99" s="61">
        <f t="shared" si="218"/>
        <v>36</v>
      </c>
      <c r="AT99" s="68">
        <f t="shared" si="218"/>
        <v>16939</v>
      </c>
      <c r="AU99" s="61">
        <f t="shared" si="218"/>
        <v>0</v>
      </c>
      <c r="AV99" s="68">
        <f t="shared" si="218"/>
        <v>7057</v>
      </c>
      <c r="AW99" s="68">
        <f t="shared" si="218"/>
        <v>5605</v>
      </c>
      <c r="AX99" s="68">
        <f t="shared" si="218"/>
        <v>5304</v>
      </c>
      <c r="AY99" s="68">
        <f t="shared" si="218"/>
        <v>12361</v>
      </c>
      <c r="AZ99" s="68">
        <f t="shared" si="218"/>
        <v>2438</v>
      </c>
      <c r="BA99" s="68">
        <f t="shared" si="218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9" ref="BE99:BL99">V99</f>
        <v>0</v>
      </c>
      <c r="BF99" s="61">
        <f t="shared" si="219"/>
        <v>0</v>
      </c>
      <c r="BG99" s="61">
        <f t="shared" si="219"/>
        <v>0.1446141370455467</v>
      </c>
      <c r="BH99" s="61">
        <f t="shared" si="219"/>
        <v>3.36</v>
      </c>
      <c r="BI99" s="61">
        <f t="shared" si="219"/>
        <v>9.33</v>
      </c>
      <c r="BJ99" s="61">
        <f t="shared" si="219"/>
        <v>2.7767857142857144</v>
      </c>
      <c r="BK99" s="61">
        <f t="shared" si="219"/>
        <v>0</v>
      </c>
      <c r="BL99" s="61">
        <f t="shared" si="219"/>
        <v>0</v>
      </c>
      <c r="BM99" s="61">
        <f t="shared" si="215"/>
        <v>0</v>
      </c>
      <c r="BN99" s="61">
        <f aca="true" t="shared" si="220" ref="BN99:BQ100">AE99</f>
        <v>177.77212628473262</v>
      </c>
      <c r="BO99" s="61">
        <f t="shared" si="220"/>
        <v>0</v>
      </c>
      <c r="BP99" s="61">
        <f t="shared" si="220"/>
        <v>0.4830583886645219</v>
      </c>
      <c r="BQ99" s="61">
        <f t="shared" si="220"/>
        <v>0.3630638647409131</v>
      </c>
      <c r="BU99" s="180">
        <f aca="true" t="shared" si="221" ref="BU99:BY100">B99</f>
        <v>2017</v>
      </c>
      <c r="BV99" s="180">
        <f t="shared" si="221"/>
        <v>117</v>
      </c>
      <c r="BW99" s="180">
        <f t="shared" si="221"/>
        <v>17</v>
      </c>
      <c r="BX99" s="62">
        <f t="shared" si="221"/>
        <v>90200</v>
      </c>
      <c r="BY99" s="62">
        <f t="shared" si="221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2" ref="CE99:CK99">L99</f>
        <v>0</v>
      </c>
      <c r="CF99" s="62">
        <f t="shared" si="222"/>
        <v>7057</v>
      </c>
      <c r="CG99" s="62">
        <f t="shared" si="222"/>
        <v>5605</v>
      </c>
      <c r="CH99" s="62">
        <f t="shared" si="222"/>
        <v>5304</v>
      </c>
      <c r="CI99" s="62">
        <f t="shared" si="222"/>
        <v>12361</v>
      </c>
      <c r="CJ99" s="62">
        <f t="shared" si="222"/>
        <v>2438</v>
      </c>
      <c r="CK99" s="62">
        <f t="shared" si="222"/>
        <v>14798</v>
      </c>
      <c r="CL99" s="253">
        <f>'Annual Raw Data'!BA37</f>
        <v>0</v>
      </c>
      <c r="CM99" s="253">
        <f>'Annual Raw Data'!BA39</f>
        <v>0</v>
      </c>
      <c r="CN99" s="62">
        <f aca="true" t="shared" si="223" ref="CN99:DA99">U99</f>
        <v>0</v>
      </c>
      <c r="CO99" s="62">
        <f t="shared" si="223"/>
        <v>0</v>
      </c>
      <c r="CP99" s="62">
        <f t="shared" si="223"/>
        <v>0</v>
      </c>
      <c r="CQ99" s="62">
        <f t="shared" si="223"/>
        <v>0.1446141370455467</v>
      </c>
      <c r="CR99" s="62">
        <f t="shared" si="223"/>
        <v>3.36</v>
      </c>
      <c r="CS99" s="62">
        <f t="shared" si="223"/>
        <v>9.33</v>
      </c>
      <c r="CT99" s="62">
        <f t="shared" si="223"/>
        <v>2.7767857142857144</v>
      </c>
      <c r="CU99" s="62">
        <f t="shared" si="223"/>
        <v>0</v>
      </c>
      <c r="CV99" s="62">
        <f t="shared" si="223"/>
        <v>0</v>
      </c>
      <c r="CW99" s="62">
        <f t="shared" si="223"/>
        <v>0</v>
      </c>
      <c r="CX99" s="62">
        <f t="shared" si="223"/>
        <v>177.77212628473262</v>
      </c>
      <c r="CY99" s="62">
        <f t="shared" si="223"/>
        <v>0</v>
      </c>
      <c r="CZ99" s="62">
        <f t="shared" si="223"/>
        <v>0.4830583886645219</v>
      </c>
      <c r="DA99" s="62">
        <f t="shared" si="223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8.48</v>
      </c>
      <c r="AA100" s="256">
        <f t="shared" si="199"/>
        <v>2.3490304709141276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4" ref="AK100:AO101">B100</f>
        <v>2018</v>
      </c>
      <c r="AL100" s="175">
        <f t="shared" si="224"/>
        <v>118</v>
      </c>
      <c r="AM100" s="175">
        <f t="shared" si="224"/>
        <v>18</v>
      </c>
      <c r="AN100" s="68">
        <f t="shared" si="224"/>
        <v>88900</v>
      </c>
      <c r="AO100" s="68">
        <f t="shared" si="224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5" ref="AR100:BA100">I100</f>
        <v>2140</v>
      </c>
      <c r="AS100" s="61">
        <f t="shared" si="225"/>
        <v>28</v>
      </c>
      <c r="AT100" s="68">
        <f t="shared" si="225"/>
        <v>16509</v>
      </c>
      <c r="AU100" s="61">
        <f t="shared" si="225"/>
        <v>0</v>
      </c>
      <c r="AV100" s="68">
        <f t="shared" si="225"/>
        <v>6793</v>
      </c>
      <c r="AW100" s="68">
        <f t="shared" si="225"/>
        <v>5378</v>
      </c>
      <c r="AX100" s="68">
        <f t="shared" si="225"/>
        <v>5429</v>
      </c>
      <c r="AY100" s="68">
        <f t="shared" si="225"/>
        <v>12222</v>
      </c>
      <c r="AZ100" s="68">
        <f t="shared" si="225"/>
        <v>2066</v>
      </c>
      <c r="BA100" s="68">
        <f t="shared" si="225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6" ref="BE100:BL100">V100</f>
        <v>0</v>
      </c>
      <c r="BF100" s="61">
        <f t="shared" si="226"/>
        <v>0</v>
      </c>
      <c r="BG100" s="61">
        <f t="shared" si="226"/>
        <v>0.1554451287793953</v>
      </c>
      <c r="BH100" s="61">
        <f t="shared" si="226"/>
        <v>3.61</v>
      </c>
      <c r="BI100" s="61">
        <f t="shared" si="226"/>
        <v>8.48</v>
      </c>
      <c r="BJ100" s="61">
        <f t="shared" si="226"/>
        <v>2.3490304709141276</v>
      </c>
      <c r="BK100" s="61">
        <f t="shared" si="226"/>
        <v>0</v>
      </c>
      <c r="BL100" s="61">
        <f t="shared" si="226"/>
        <v>0</v>
      </c>
      <c r="BM100" s="61">
        <f t="shared" si="215"/>
        <v>0</v>
      </c>
      <c r="BN100" s="61">
        <f t="shared" si="220"/>
        <v>180.22375687992644</v>
      </c>
      <c r="BO100" s="61">
        <f t="shared" si="220"/>
        <v>0</v>
      </c>
      <c r="BP100" s="61">
        <f t="shared" si="220"/>
        <v>0.47370990237099025</v>
      </c>
      <c r="BQ100" s="61">
        <f t="shared" si="220"/>
        <v>0.3785913528591353</v>
      </c>
      <c r="BU100" s="180">
        <f t="shared" si="221"/>
        <v>2018</v>
      </c>
      <c r="BV100" s="180">
        <f t="shared" si="221"/>
        <v>118</v>
      </c>
      <c r="BW100" s="180">
        <f t="shared" si="221"/>
        <v>18</v>
      </c>
      <c r="BX100" s="62">
        <f t="shared" si="221"/>
        <v>88900</v>
      </c>
      <c r="BY100" s="62">
        <f t="shared" si="221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7" ref="CB100:CC102">I100</f>
        <v>2140</v>
      </c>
      <c r="CC100" s="62">
        <f t="shared" si="227"/>
        <v>28</v>
      </c>
      <c r="CD100" s="62">
        <f t="shared" si="209"/>
        <v>16509.32</v>
      </c>
      <c r="CE100" s="62">
        <f aca="true" t="shared" si="228" ref="CE100:CK100">L100</f>
        <v>0</v>
      </c>
      <c r="CF100" s="62">
        <f t="shared" si="228"/>
        <v>6793</v>
      </c>
      <c r="CG100" s="62">
        <f t="shared" si="228"/>
        <v>5378</v>
      </c>
      <c r="CH100" s="62">
        <f t="shared" si="228"/>
        <v>5429</v>
      </c>
      <c r="CI100" s="62">
        <f t="shared" si="228"/>
        <v>12222</v>
      </c>
      <c r="CJ100" s="62">
        <f t="shared" si="228"/>
        <v>2066</v>
      </c>
      <c r="CK100" s="62">
        <f t="shared" si="228"/>
        <v>14288</v>
      </c>
      <c r="CL100" s="253">
        <f>'Annual Raw Data'!BA38</f>
        <v>0</v>
      </c>
      <c r="CM100" s="253">
        <f>'Annual Raw Data'!BA40</f>
        <v>0</v>
      </c>
      <c r="CN100" s="62">
        <f aca="true" t="shared" si="229" ref="CN100:DA100">U100</f>
        <v>0</v>
      </c>
      <c r="CO100" s="62">
        <f t="shared" si="229"/>
        <v>0</v>
      </c>
      <c r="CP100" s="62">
        <f t="shared" si="229"/>
        <v>0</v>
      </c>
      <c r="CQ100" s="62">
        <f t="shared" si="229"/>
        <v>0.1554451287793953</v>
      </c>
      <c r="CR100" s="62">
        <f t="shared" si="229"/>
        <v>3.61</v>
      </c>
      <c r="CS100" s="62">
        <f t="shared" si="229"/>
        <v>8.48</v>
      </c>
      <c r="CT100" s="62">
        <f t="shared" si="229"/>
        <v>2.3490304709141276</v>
      </c>
      <c r="CU100" s="62">
        <f t="shared" si="229"/>
        <v>0</v>
      </c>
      <c r="CV100" s="62">
        <f t="shared" si="229"/>
        <v>0</v>
      </c>
      <c r="CW100" s="62">
        <f t="shared" si="229"/>
        <v>0</v>
      </c>
      <c r="CX100" s="62">
        <f t="shared" si="229"/>
        <v>180.22375687992644</v>
      </c>
      <c r="CY100" s="62">
        <f t="shared" si="229"/>
        <v>0</v>
      </c>
      <c r="CZ100" s="62">
        <f t="shared" si="229"/>
        <v>0.47370990237099025</v>
      </c>
      <c r="DA100" s="62">
        <f t="shared" si="229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6286</v>
      </c>
      <c r="N101" s="56">
        <f>'Annual Raw Data'!$AW$22</f>
        <v>4857</v>
      </c>
      <c r="O101" s="56">
        <f>'Annual Raw Data'!$AW$25</f>
        <v>5900</v>
      </c>
      <c r="P101" s="56">
        <f>'Annual Raw Data'!$AW$26</f>
        <v>12186</v>
      </c>
      <c r="Q101" s="56">
        <f>'Annual Raw Data'!$AW$29</f>
        <v>1777</v>
      </c>
      <c r="R101" s="56">
        <f>'Annual Raw Data'!$AW$31</f>
        <v>13963</v>
      </c>
      <c r="S101" s="56">
        <f>'Annual Raw Data'!$AW$34</f>
        <v>1919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0.13743464871445965</v>
      </c>
      <c r="Y101" s="60">
        <f>'Annual Raw Data'!$AW$43</f>
        <v>3.56</v>
      </c>
      <c r="Z101" s="60">
        <v>8.57</v>
      </c>
      <c r="AA101" s="256">
        <f t="shared" si="199"/>
        <v>2.407303370786517</v>
      </c>
      <c r="AE101" s="57">
        <f t="shared" si="160"/>
        <v>182.67538747512026</v>
      </c>
      <c r="AG101" s="66">
        <f t="shared" si="200"/>
        <v>0.4615271659324523</v>
      </c>
      <c r="AH101" s="67">
        <f t="shared" si="201"/>
        <v>0.4331864904552129</v>
      </c>
      <c r="AI101" s="67">
        <f t="shared" si="202"/>
        <v>0.3566079295154185</v>
      </c>
      <c r="AK101" s="175">
        <f t="shared" si="224"/>
        <v>2019</v>
      </c>
      <c r="AL101" s="175">
        <f t="shared" si="224"/>
        <v>119</v>
      </c>
      <c r="AM101" s="175">
        <f t="shared" si="224"/>
        <v>19</v>
      </c>
      <c r="AN101" s="68">
        <f t="shared" si="224"/>
        <v>89700</v>
      </c>
      <c r="AO101" s="68">
        <f t="shared" si="224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30" ref="AR101:BA101">I101</f>
        <v>2221</v>
      </c>
      <c r="AS101" s="61">
        <f t="shared" si="230"/>
        <v>42</v>
      </c>
      <c r="AT101" s="68">
        <f t="shared" si="230"/>
        <v>15883</v>
      </c>
      <c r="AU101" s="61">
        <f t="shared" si="230"/>
        <v>0</v>
      </c>
      <c r="AV101" s="68">
        <f t="shared" si="230"/>
        <v>6286</v>
      </c>
      <c r="AW101" s="68">
        <f t="shared" si="230"/>
        <v>4857</v>
      </c>
      <c r="AX101" s="68">
        <f t="shared" si="230"/>
        <v>5900</v>
      </c>
      <c r="AY101" s="68">
        <f t="shared" si="230"/>
        <v>12186</v>
      </c>
      <c r="AZ101" s="68">
        <f t="shared" si="230"/>
        <v>1777</v>
      </c>
      <c r="BA101" s="68">
        <f t="shared" si="230"/>
        <v>13963</v>
      </c>
      <c r="BB101" s="68">
        <f t="shared" si="195"/>
        <v>1919</v>
      </c>
      <c r="BC101" s="68">
        <f t="shared" si="196"/>
        <v>1919</v>
      </c>
      <c r="BD101" s="61">
        <f t="shared" si="197"/>
        <v>0</v>
      </c>
      <c r="BE101" s="61">
        <f aca="true" t="shared" si="231" ref="BE101:BL101">V101</f>
        <v>0</v>
      </c>
      <c r="BF101" s="61">
        <f t="shared" si="231"/>
        <v>0</v>
      </c>
      <c r="BG101" s="61">
        <f t="shared" si="231"/>
        <v>0.13743464871445965</v>
      </c>
      <c r="BH101" s="61">
        <f t="shared" si="231"/>
        <v>3.56</v>
      </c>
      <c r="BI101" s="61">
        <f t="shared" si="231"/>
        <v>8.57</v>
      </c>
      <c r="BJ101" s="61">
        <f t="shared" si="231"/>
        <v>2.407303370786517</v>
      </c>
      <c r="BK101" s="61">
        <f t="shared" si="231"/>
        <v>0</v>
      </c>
      <c r="BL101" s="61">
        <f t="shared" si="231"/>
        <v>0</v>
      </c>
      <c r="BM101" s="61">
        <f t="shared" si="215"/>
        <v>0</v>
      </c>
      <c r="BN101" s="61">
        <f aca="true" t="shared" si="232" ref="BN101:BQ102">AE101</f>
        <v>182.67538747512026</v>
      </c>
      <c r="BO101" s="61">
        <f t="shared" si="232"/>
        <v>0</v>
      </c>
      <c r="BP101" s="61">
        <f t="shared" si="232"/>
        <v>0.4615271659324523</v>
      </c>
      <c r="BQ101" s="61">
        <f t="shared" si="232"/>
        <v>0.4331864904552129</v>
      </c>
      <c r="BU101" s="180">
        <f aca="true" t="shared" si="233" ref="BU101:BY102">B101</f>
        <v>2019</v>
      </c>
      <c r="BV101" s="180">
        <f t="shared" si="233"/>
        <v>119</v>
      </c>
      <c r="BW101" s="180">
        <f t="shared" si="233"/>
        <v>19</v>
      </c>
      <c r="BX101" s="62">
        <f t="shared" si="233"/>
        <v>89700</v>
      </c>
      <c r="BY101" s="62">
        <f t="shared" si="233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7"/>
        <v>2221</v>
      </c>
      <c r="CC101" s="62">
        <f t="shared" si="227"/>
        <v>42</v>
      </c>
      <c r="CD101" s="62">
        <f t="shared" si="209"/>
        <v>15880.75</v>
      </c>
      <c r="CE101" s="62">
        <f aca="true" t="shared" si="234" ref="CE101:CK101">L101</f>
        <v>0</v>
      </c>
      <c r="CF101" s="62">
        <f t="shared" si="234"/>
        <v>6286</v>
      </c>
      <c r="CG101" s="62">
        <f t="shared" si="234"/>
        <v>4857</v>
      </c>
      <c r="CH101" s="62">
        <f t="shared" si="234"/>
        <v>5900</v>
      </c>
      <c r="CI101" s="62">
        <f t="shared" si="234"/>
        <v>12186</v>
      </c>
      <c r="CJ101" s="62">
        <f t="shared" si="234"/>
        <v>1777</v>
      </c>
      <c r="CK101" s="62">
        <f t="shared" si="234"/>
        <v>13963</v>
      </c>
      <c r="CL101" s="253">
        <f>'Annual Raw Data'!BA39</f>
        <v>0</v>
      </c>
      <c r="CM101" s="253">
        <f>'Annual Raw Data'!BA41</f>
        <v>0.11189553951008842</v>
      </c>
      <c r="CN101" s="62">
        <f aca="true" t="shared" si="235" ref="CN101:DA101">U101</f>
        <v>0</v>
      </c>
      <c r="CO101" s="62">
        <f t="shared" si="235"/>
        <v>0</v>
      </c>
      <c r="CP101" s="62">
        <f t="shared" si="235"/>
        <v>0</v>
      </c>
      <c r="CQ101" s="62">
        <f t="shared" si="235"/>
        <v>0.13743464871445965</v>
      </c>
      <c r="CR101" s="62">
        <f t="shared" si="235"/>
        <v>3.56</v>
      </c>
      <c r="CS101" s="62">
        <f t="shared" si="235"/>
        <v>8.57</v>
      </c>
      <c r="CT101" s="62">
        <f t="shared" si="235"/>
        <v>2.407303370786517</v>
      </c>
      <c r="CU101" s="62">
        <f t="shared" si="235"/>
        <v>0</v>
      </c>
      <c r="CV101" s="62">
        <f t="shared" si="235"/>
        <v>0</v>
      </c>
      <c r="CW101" s="62">
        <f t="shared" si="235"/>
        <v>0</v>
      </c>
      <c r="CX101" s="62">
        <f t="shared" si="235"/>
        <v>182.67538747512026</v>
      </c>
      <c r="CY101" s="62">
        <f t="shared" si="235"/>
        <v>0</v>
      </c>
      <c r="CZ101" s="62">
        <f t="shared" si="235"/>
        <v>0.4615271659324523</v>
      </c>
      <c r="DA101" s="62">
        <f t="shared" si="235"/>
        <v>0.4331864904552129</v>
      </c>
    </row>
    <row r="102" spans="2:105" s="65" customFormat="1" ht="12.75">
      <c r="B102" s="252">
        <v>2020</v>
      </c>
      <c r="C102" s="252">
        <f t="shared" si="190"/>
        <v>120</v>
      </c>
      <c r="D102" s="226">
        <v>20</v>
      </c>
      <c r="E102" s="56">
        <f>'Annual Raw Data'!$AX$8*1000</f>
        <v>90700</v>
      </c>
      <c r="F102" s="56">
        <f>'Annual Raw Data'!$AX$9*1000</f>
        <v>82300</v>
      </c>
      <c r="G102" s="57">
        <f>'Annual Raw Data'!$AX$10</f>
        <v>171.4</v>
      </c>
      <c r="H102" s="56">
        <f>'Annual Raw Data'!$AX$12</f>
        <v>14111</v>
      </c>
      <c r="I102" s="56">
        <f>'Annual Raw Data'!$AX$13</f>
        <v>1919</v>
      </c>
      <c r="J102" s="58">
        <f>'Annual Raw Data'!$AX$14</f>
        <v>24</v>
      </c>
      <c r="K102" s="56">
        <f>'Annual Raw Data'!$AX$15</f>
        <v>16055</v>
      </c>
      <c r="L102" s="58"/>
      <c r="M102" s="56">
        <f>'Annual Raw Data'!$AX$21</f>
        <v>6469</v>
      </c>
      <c r="N102" s="56">
        <f>'Annual Raw Data'!$AX$22</f>
        <v>5032</v>
      </c>
      <c r="O102" s="56">
        <f>'Annual Raw Data'!$AX$25</f>
        <v>5597</v>
      </c>
      <c r="P102" s="56">
        <f>'Annual Raw Data'!$AX$26</f>
        <v>12066</v>
      </c>
      <c r="Q102" s="56">
        <f>'Annual Raw Data'!$AX$29</f>
        <v>2753</v>
      </c>
      <c r="R102" s="56">
        <f>'Annual Raw Data'!$AX$31</f>
        <v>14819</v>
      </c>
      <c r="S102" s="56">
        <f>'Annual Raw Data'!$AX$34</f>
        <v>1236</v>
      </c>
      <c r="T102" s="56">
        <f>'Annual Raw Data'!$AX$36</f>
        <v>0</v>
      </c>
      <c r="U102" s="63">
        <f>'Annual Raw Data'!$AX$37</f>
        <v>0</v>
      </c>
      <c r="V102" s="63">
        <f>'Annual Raw Data'!$AX$38</f>
        <v>0</v>
      </c>
      <c r="W102" s="58">
        <f>'Annual Raw Data'!$AX$39</f>
        <v>0</v>
      </c>
      <c r="X102" s="59">
        <f>'Annual Raw Data'!$AX$41</f>
        <v>0.08340643768135501</v>
      </c>
      <c r="Y102" s="60">
        <f>'Annual Raw Data'!$AX$43</f>
        <v>4.53</v>
      </c>
      <c r="Z102" s="60">
        <v>11.25</v>
      </c>
      <c r="AA102" s="256">
        <f t="shared" si="199"/>
        <v>2.4834437086092715</v>
      </c>
      <c r="AE102" s="57">
        <f t="shared" si="160"/>
        <v>185.12701807031408</v>
      </c>
      <c r="AG102" s="66">
        <f t="shared" si="200"/>
        <v>0.4584366806037843</v>
      </c>
      <c r="AH102" s="67">
        <f t="shared" si="201"/>
        <v>0.3966409184324286</v>
      </c>
      <c r="AI102" s="67">
        <f t="shared" si="202"/>
        <v>0.35660123308057545</v>
      </c>
      <c r="AK102" s="175">
        <f aca="true" t="shared" si="236" ref="AK102:AO103">B102</f>
        <v>2020</v>
      </c>
      <c r="AL102" s="175">
        <f t="shared" si="236"/>
        <v>120</v>
      </c>
      <c r="AM102" s="175">
        <f t="shared" si="236"/>
        <v>20</v>
      </c>
      <c r="AN102" s="68">
        <f t="shared" si="236"/>
        <v>90700</v>
      </c>
      <c r="AO102" s="68">
        <f t="shared" si="236"/>
        <v>82300</v>
      </c>
      <c r="AP102" s="69">
        <f>'Annual Raw Data'!AX10</f>
        <v>171.4</v>
      </c>
      <c r="AQ102" s="68">
        <f>AO102*AP102/1000</f>
        <v>14106.22</v>
      </c>
      <c r="AR102" s="68">
        <f aca="true" t="shared" si="237" ref="AR102:BB102">I102</f>
        <v>1919</v>
      </c>
      <c r="AS102" s="61">
        <f t="shared" si="237"/>
        <v>24</v>
      </c>
      <c r="AT102" s="68">
        <f t="shared" si="237"/>
        <v>16055</v>
      </c>
      <c r="AU102" s="61">
        <f t="shared" si="237"/>
        <v>0</v>
      </c>
      <c r="AV102" s="68">
        <f t="shared" si="237"/>
        <v>6469</v>
      </c>
      <c r="AW102" s="68">
        <f t="shared" si="237"/>
        <v>5032</v>
      </c>
      <c r="AX102" s="68">
        <f t="shared" si="237"/>
        <v>5597</v>
      </c>
      <c r="AY102" s="68">
        <f t="shared" si="237"/>
        <v>12066</v>
      </c>
      <c r="AZ102" s="68">
        <f t="shared" si="237"/>
        <v>2753</v>
      </c>
      <c r="BA102" s="68">
        <f t="shared" si="237"/>
        <v>14819</v>
      </c>
      <c r="BB102" s="68">
        <f t="shared" si="237"/>
        <v>1236</v>
      </c>
      <c r="BC102" s="68">
        <f>BB102</f>
        <v>1236</v>
      </c>
      <c r="BD102" s="61">
        <f aca="true" t="shared" si="238" ref="BD102:BL102">U102</f>
        <v>0</v>
      </c>
      <c r="BE102" s="61">
        <f t="shared" si="238"/>
        <v>0</v>
      </c>
      <c r="BF102" s="61">
        <f t="shared" si="238"/>
        <v>0</v>
      </c>
      <c r="BG102" s="61">
        <f t="shared" si="238"/>
        <v>0.08340643768135501</v>
      </c>
      <c r="BH102" s="61">
        <f t="shared" si="238"/>
        <v>4.53</v>
      </c>
      <c r="BI102" s="61">
        <f t="shared" si="238"/>
        <v>11.25</v>
      </c>
      <c r="BJ102" s="61">
        <f t="shared" si="238"/>
        <v>2.4834437086092715</v>
      </c>
      <c r="BK102" s="61">
        <f t="shared" si="238"/>
        <v>0</v>
      </c>
      <c r="BL102" s="61">
        <f t="shared" si="238"/>
        <v>0</v>
      </c>
      <c r="BM102" s="61">
        <f t="shared" si="215"/>
        <v>0</v>
      </c>
      <c r="BN102" s="61">
        <f t="shared" si="232"/>
        <v>185.12701807031408</v>
      </c>
      <c r="BO102" s="61">
        <f t="shared" si="232"/>
        <v>0</v>
      </c>
      <c r="BP102" s="61">
        <f t="shared" si="232"/>
        <v>0.4584366806037843</v>
      </c>
      <c r="BQ102" s="61">
        <f t="shared" si="232"/>
        <v>0.3966409184324286</v>
      </c>
      <c r="BU102" s="180">
        <f t="shared" si="233"/>
        <v>2020</v>
      </c>
      <c r="BV102" s="180">
        <f t="shared" si="233"/>
        <v>120</v>
      </c>
      <c r="BW102" s="180">
        <f t="shared" si="233"/>
        <v>20</v>
      </c>
      <c r="BX102" s="62">
        <f t="shared" si="233"/>
        <v>90700</v>
      </c>
      <c r="BY102" s="62">
        <f t="shared" si="233"/>
        <v>82300</v>
      </c>
      <c r="BZ102" s="62">
        <f>'Annual Raw Data'!AY10</f>
        <v>176.5</v>
      </c>
      <c r="CA102" s="62">
        <f t="shared" si="207"/>
        <v>14525.95</v>
      </c>
      <c r="CB102" s="62">
        <f t="shared" si="227"/>
        <v>1919</v>
      </c>
      <c r="CC102" s="62">
        <f t="shared" si="227"/>
        <v>24</v>
      </c>
      <c r="CD102" s="62">
        <f t="shared" si="209"/>
        <v>16468.95</v>
      </c>
      <c r="CE102" s="62">
        <f aca="true" t="shared" si="239" ref="CE102:CK102">L102</f>
        <v>0</v>
      </c>
      <c r="CF102" s="62">
        <f t="shared" si="239"/>
        <v>6469</v>
      </c>
      <c r="CG102" s="62">
        <f t="shared" si="239"/>
        <v>5032</v>
      </c>
      <c r="CH102" s="62">
        <f t="shared" si="239"/>
        <v>5597</v>
      </c>
      <c r="CI102" s="62">
        <f t="shared" si="239"/>
        <v>12066</v>
      </c>
      <c r="CJ102" s="62">
        <f t="shared" si="239"/>
        <v>2753</v>
      </c>
      <c r="CK102" s="62">
        <f t="shared" si="239"/>
        <v>14819</v>
      </c>
      <c r="CL102" s="253">
        <f>'Annual Raw Data'!BA40</f>
        <v>0</v>
      </c>
      <c r="CM102" s="253">
        <f>'Annual Raw Data'!BA42</f>
        <v>0</v>
      </c>
      <c r="CN102" s="62">
        <f aca="true" t="shared" si="240" ref="CN102:DA102">U102</f>
        <v>0</v>
      </c>
      <c r="CO102" s="62">
        <f t="shared" si="240"/>
        <v>0</v>
      </c>
      <c r="CP102" s="62">
        <f t="shared" si="240"/>
        <v>0</v>
      </c>
      <c r="CQ102" s="62">
        <f t="shared" si="240"/>
        <v>0.08340643768135501</v>
      </c>
      <c r="CR102" s="62">
        <f t="shared" si="240"/>
        <v>4.53</v>
      </c>
      <c r="CS102" s="62">
        <f t="shared" si="240"/>
        <v>11.25</v>
      </c>
      <c r="CT102" s="62">
        <f t="shared" si="240"/>
        <v>2.4834437086092715</v>
      </c>
      <c r="CU102" s="62">
        <f t="shared" si="240"/>
        <v>0</v>
      </c>
      <c r="CV102" s="62">
        <f t="shared" si="240"/>
        <v>0</v>
      </c>
      <c r="CW102" s="62">
        <f t="shared" si="240"/>
        <v>0</v>
      </c>
      <c r="CX102" s="62">
        <f t="shared" si="240"/>
        <v>185.12701807031408</v>
      </c>
      <c r="CY102" s="62">
        <f t="shared" si="240"/>
        <v>0</v>
      </c>
      <c r="CZ102" s="62">
        <f t="shared" si="240"/>
        <v>0.4584366806037843</v>
      </c>
      <c r="DA102" s="62">
        <f t="shared" si="240"/>
        <v>0.3966409184324286</v>
      </c>
    </row>
    <row r="103" spans="2:105" s="65" customFormat="1" ht="12.75">
      <c r="B103" s="247">
        <v>2021</v>
      </c>
      <c r="C103" s="247">
        <f t="shared" si="190"/>
        <v>121</v>
      </c>
      <c r="D103" s="239">
        <v>21</v>
      </c>
      <c r="E103" s="229">
        <f>'Annual Raw Data'!$AY$8*1000</f>
        <v>93300</v>
      </c>
      <c r="F103" s="229">
        <f>'Annual Raw Data'!$AY$9*1000</f>
        <v>85100</v>
      </c>
      <c r="G103" s="230">
        <f>'Annual Raw Data'!$AY$10</f>
        <v>176.5</v>
      </c>
      <c r="H103" s="229">
        <f>'Annual Raw Data'!$AY$12</f>
        <v>15019</v>
      </c>
      <c r="I103" s="229">
        <f>'Annual Raw Data'!$AY$13</f>
        <v>1236</v>
      </c>
      <c r="J103" s="231">
        <f>'Annual Raw Data'!$AY$14</f>
        <v>25</v>
      </c>
      <c r="K103" s="229">
        <f>'Annual Raw Data'!$AY$15</f>
        <v>16280</v>
      </c>
      <c r="L103" s="231"/>
      <c r="M103" s="229">
        <f>'Annual Raw Data'!$AY$21</f>
        <v>6630</v>
      </c>
      <c r="N103" s="229">
        <f>'Annual Raw Data'!$AY$22</f>
        <v>5200</v>
      </c>
      <c r="O103" s="229">
        <f>'Annual Raw Data'!$AY$25</f>
        <v>5650</v>
      </c>
      <c r="P103" s="229">
        <f>'Annual Raw Data'!$AY$26</f>
        <v>12280</v>
      </c>
      <c r="Q103" s="229">
        <f>'Annual Raw Data'!$AY$29</f>
        <v>2500</v>
      </c>
      <c r="R103" s="229">
        <f>'Annual Raw Data'!$AY$31</f>
        <v>14780</v>
      </c>
      <c r="S103" s="229">
        <f>'Annual Raw Data'!$AY$34</f>
        <v>1500</v>
      </c>
      <c r="T103" s="229">
        <f>'Annual Raw Data'!$AY$36</f>
        <v>0</v>
      </c>
      <c r="U103" s="232">
        <f>'Annual Raw Data'!$AY$37</f>
        <v>0</v>
      </c>
      <c r="V103" s="232">
        <f>'Annual Raw Data'!$AY$38</f>
        <v>0</v>
      </c>
      <c r="W103" s="231">
        <f>'Annual Raw Data'!$AY$39</f>
        <v>0</v>
      </c>
      <c r="X103" s="233">
        <f>'Annual Raw Data'!$AY$41</f>
        <v>0.10148849797023005</v>
      </c>
      <c r="Y103" s="234">
        <f>'Annual Raw Data'!$AY$43</f>
        <v>5.45</v>
      </c>
      <c r="Z103" s="234"/>
      <c r="AA103" s="257">
        <f>Z103/Y103</f>
        <v>0</v>
      </c>
      <c r="AB103" s="235"/>
      <c r="AC103" s="235"/>
      <c r="AD103" s="235"/>
      <c r="AE103" s="230">
        <f t="shared" si="160"/>
        <v>187.5786486655079</v>
      </c>
      <c r="AF103" s="235"/>
      <c r="AG103" s="236">
        <f>M103/H103</f>
        <v>0.4414408416006392</v>
      </c>
      <c r="AH103" s="237">
        <f>O103/H103</f>
        <v>0.37619015913176646</v>
      </c>
      <c r="AI103" s="237">
        <f>N103/H103</f>
        <v>0.34622811105932483</v>
      </c>
      <c r="AJ103" s="240"/>
      <c r="AK103" s="241">
        <f t="shared" si="236"/>
        <v>2021</v>
      </c>
      <c r="AL103" s="241">
        <f t="shared" si="236"/>
        <v>121</v>
      </c>
      <c r="AM103" s="241">
        <f t="shared" si="236"/>
        <v>21</v>
      </c>
      <c r="AN103" s="242">
        <f t="shared" si="236"/>
        <v>93300</v>
      </c>
      <c r="AO103" s="242">
        <f t="shared" si="236"/>
        <v>85100</v>
      </c>
      <c r="AP103" s="243">
        <f>'Annual Raw Data'!AZ10</f>
        <v>123.11</v>
      </c>
      <c r="AQ103" s="242">
        <f>AO103*AP103/1000</f>
        <v>10476.661</v>
      </c>
      <c r="AR103" s="242">
        <f aca="true" t="shared" si="241" ref="AR103:BB103">I103</f>
        <v>1236</v>
      </c>
      <c r="AS103" s="244">
        <f t="shared" si="241"/>
        <v>25</v>
      </c>
      <c r="AT103" s="242">
        <f t="shared" si="241"/>
        <v>16280</v>
      </c>
      <c r="AU103" s="244">
        <f t="shared" si="241"/>
        <v>0</v>
      </c>
      <c r="AV103" s="242">
        <f t="shared" si="241"/>
        <v>6630</v>
      </c>
      <c r="AW103" s="242">
        <f t="shared" si="241"/>
        <v>5200</v>
      </c>
      <c r="AX103" s="242">
        <f t="shared" si="241"/>
        <v>5650</v>
      </c>
      <c r="AY103" s="242">
        <f t="shared" si="241"/>
        <v>12280</v>
      </c>
      <c r="AZ103" s="242">
        <f t="shared" si="241"/>
        <v>2500</v>
      </c>
      <c r="BA103" s="242">
        <f t="shared" si="241"/>
        <v>14780</v>
      </c>
      <c r="BB103" s="242">
        <f t="shared" si="241"/>
        <v>1500</v>
      </c>
      <c r="BC103" s="242">
        <f>BB103</f>
        <v>1500</v>
      </c>
      <c r="BD103" s="244">
        <f aca="true" t="shared" si="242" ref="BD103:BL103">U103</f>
        <v>0</v>
      </c>
      <c r="BE103" s="244">
        <f t="shared" si="242"/>
        <v>0</v>
      </c>
      <c r="BF103" s="244">
        <f t="shared" si="242"/>
        <v>0</v>
      </c>
      <c r="BG103" s="244">
        <f t="shared" si="242"/>
        <v>0.10148849797023005</v>
      </c>
      <c r="BH103" s="244">
        <f t="shared" si="242"/>
        <v>5.45</v>
      </c>
      <c r="BI103" s="244">
        <f t="shared" si="242"/>
        <v>0</v>
      </c>
      <c r="BJ103" s="244">
        <f t="shared" si="242"/>
        <v>0</v>
      </c>
      <c r="BK103" s="244">
        <f t="shared" si="242"/>
        <v>0</v>
      </c>
      <c r="BL103" s="244">
        <f t="shared" si="242"/>
        <v>0</v>
      </c>
      <c r="BM103" s="244">
        <f t="shared" si="215"/>
        <v>0</v>
      </c>
      <c r="BN103" s="244">
        <f>AE103</f>
        <v>187.5786486655079</v>
      </c>
      <c r="BO103" s="244">
        <f>AF103</f>
        <v>0</v>
      </c>
      <c r="BP103" s="244">
        <f>AG103</f>
        <v>0.4414408416006392</v>
      </c>
      <c r="BQ103" s="244">
        <f>AH103</f>
        <v>0.37619015913176646</v>
      </c>
      <c r="BR103" s="240"/>
      <c r="BS103" s="240"/>
      <c r="BT103" s="240"/>
      <c r="BU103" s="245">
        <f>B103</f>
        <v>2021</v>
      </c>
      <c r="BV103" s="245">
        <f>C103</f>
        <v>121</v>
      </c>
      <c r="BW103" s="245">
        <f>D103</f>
        <v>21</v>
      </c>
      <c r="BX103" s="246">
        <f>E103</f>
        <v>93300</v>
      </c>
      <c r="BY103" s="246">
        <f>F103</f>
        <v>85100</v>
      </c>
      <c r="BZ103" s="246">
        <f>'Annual Raw Data'!BA10</f>
        <v>176.6</v>
      </c>
      <c r="CA103" s="246">
        <f>BY103*BZ103/1000</f>
        <v>15028.66</v>
      </c>
      <c r="CB103" s="246">
        <f>I103</f>
        <v>1236</v>
      </c>
      <c r="CC103" s="246">
        <f>J103</f>
        <v>25</v>
      </c>
      <c r="CD103" s="246">
        <f>CA103+CB103+CC103</f>
        <v>16289.66</v>
      </c>
      <c r="CE103" s="246">
        <f aca="true" t="shared" si="243" ref="CE103:CK103">L103</f>
        <v>0</v>
      </c>
      <c r="CF103" s="246">
        <f t="shared" si="243"/>
        <v>6630</v>
      </c>
      <c r="CG103" s="246">
        <f t="shared" si="243"/>
        <v>5200</v>
      </c>
      <c r="CH103" s="246">
        <f t="shared" si="243"/>
        <v>5650</v>
      </c>
      <c r="CI103" s="246">
        <f t="shared" si="243"/>
        <v>12280</v>
      </c>
      <c r="CJ103" s="246">
        <f t="shared" si="243"/>
        <v>2500</v>
      </c>
      <c r="CK103" s="246">
        <f t="shared" si="243"/>
        <v>14780</v>
      </c>
      <c r="CL103" s="248">
        <f>'Annual Raw Data'!BA41</f>
        <v>0.11189553951008842</v>
      </c>
      <c r="CM103" s="248">
        <f>'Annual Raw Data'!BA43</f>
        <v>0</v>
      </c>
      <c r="CN103" s="246">
        <f aca="true" t="shared" si="244" ref="CN103:DA103">U103</f>
        <v>0</v>
      </c>
      <c r="CO103" s="246">
        <f t="shared" si="244"/>
        <v>0</v>
      </c>
      <c r="CP103" s="246">
        <f t="shared" si="244"/>
        <v>0</v>
      </c>
      <c r="CQ103" s="246">
        <f t="shared" si="244"/>
        <v>0.10148849797023005</v>
      </c>
      <c r="CR103" s="246">
        <f t="shared" si="244"/>
        <v>5.45</v>
      </c>
      <c r="CS103" s="246">
        <f t="shared" si="244"/>
        <v>0</v>
      </c>
      <c r="CT103" s="246">
        <f t="shared" si="244"/>
        <v>0</v>
      </c>
      <c r="CU103" s="246">
        <f t="shared" si="244"/>
        <v>0</v>
      </c>
      <c r="CV103" s="246">
        <f t="shared" si="244"/>
        <v>0</v>
      </c>
      <c r="CW103" s="246">
        <f t="shared" si="244"/>
        <v>0</v>
      </c>
      <c r="CX103" s="246">
        <f t="shared" si="244"/>
        <v>187.5786486655079</v>
      </c>
      <c r="CY103" s="246">
        <f t="shared" si="244"/>
        <v>0</v>
      </c>
      <c r="CZ103" s="246">
        <f t="shared" si="244"/>
        <v>0.4414408416006392</v>
      </c>
      <c r="DA103" s="246">
        <f t="shared" si="244"/>
        <v>0.37619015913176646</v>
      </c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X94"/>
  <sheetViews>
    <sheetView tabSelected="1" zoomScale="95" zoomScaleNormal="95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3" width="9.140625" style="70" customWidth="1"/>
    <col min="54" max="54" width="4.7109375" style="70" customWidth="1"/>
    <col min="55" max="16384" width="9.7109375" style="70" customWidth="1"/>
  </cols>
  <sheetData>
    <row r="1" spans="2:3" ht="12.75">
      <c r="B1" s="190" t="s">
        <v>279</v>
      </c>
      <c r="C1" s="71"/>
    </row>
    <row r="2" spans="2:51" ht="12.75">
      <c r="B2" s="196" t="s">
        <v>280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2:53" ht="12.75">
      <c r="B3" s="73" t="str">
        <f>B2&amp;" "&amp;"&amp; K-State Ag. Econ. Dept."</f>
        <v>Source:  USDA WASDE Report 10.12.21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Y3" s="137"/>
      <c r="AZ3" s="137" t="s">
        <v>262</v>
      </c>
      <c r="BA3" s="137"/>
    </row>
    <row r="4" spans="3:82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238"/>
      <c r="AY4" s="137" t="s">
        <v>263</v>
      </c>
      <c r="AZ4" s="138" t="s">
        <v>224</v>
      </c>
      <c r="BA4" s="138" t="s">
        <v>225</v>
      </c>
      <c r="BC4"/>
      <c r="BD4"/>
      <c r="BE4"/>
      <c r="BF4"/>
      <c r="BG4"/>
      <c r="CD4" s="72" t="s">
        <v>19</v>
      </c>
    </row>
    <row r="5" spans="2:102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8">
        <v>20</v>
      </c>
      <c r="AY5" s="199">
        <v>21</v>
      </c>
      <c r="AZ5" s="199">
        <v>21</v>
      </c>
      <c r="BA5" s="199">
        <v>21</v>
      </c>
      <c r="BC5"/>
      <c r="BD5"/>
      <c r="BE5"/>
      <c r="BF5"/>
      <c r="BG5"/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  <c r="CX5" s="79" t="s">
        <v>22</v>
      </c>
    </row>
    <row r="6" spans="2:98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83" t="s">
        <v>277</v>
      </c>
      <c r="AY6" s="139" t="s">
        <v>278</v>
      </c>
      <c r="AZ6" s="139" t="s">
        <v>278</v>
      </c>
      <c r="BA6" s="139" t="s">
        <v>278</v>
      </c>
      <c r="BC6"/>
      <c r="BD6"/>
      <c r="BE6"/>
      <c r="BF6"/>
      <c r="BG6"/>
      <c r="CH6" s="72" t="s">
        <v>53</v>
      </c>
      <c r="CN6" s="72" t="s">
        <v>54</v>
      </c>
      <c r="CT6" s="72" t="s">
        <v>55</v>
      </c>
    </row>
    <row r="7" spans="2:102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8"/>
      <c r="AZ7" s="188"/>
      <c r="BA7" s="188"/>
      <c r="BC7"/>
      <c r="BD7"/>
      <c r="BE7"/>
      <c r="BF7"/>
      <c r="BG7"/>
      <c r="CF7" s="72" t="s">
        <v>56</v>
      </c>
      <c r="CH7" s="79" t="s">
        <v>22</v>
      </c>
      <c r="CI7" s="79" t="s">
        <v>22</v>
      </c>
      <c r="CJ7" s="72" t="s">
        <v>57</v>
      </c>
      <c r="CK7" s="72" t="s">
        <v>58</v>
      </c>
      <c r="CL7" s="79" t="s">
        <v>22</v>
      </c>
      <c r="CM7" s="79" t="s">
        <v>22</v>
      </c>
      <c r="CN7" s="79" t="s">
        <v>22</v>
      </c>
      <c r="CO7" s="79" t="s">
        <v>22</v>
      </c>
      <c r="CP7" s="72" t="s">
        <v>59</v>
      </c>
      <c r="CQ7" s="72" t="s">
        <v>60</v>
      </c>
      <c r="CS7" s="72" t="s">
        <v>61</v>
      </c>
      <c r="CT7" s="79" t="s">
        <v>22</v>
      </c>
      <c r="CU7" s="79" t="s">
        <v>22</v>
      </c>
      <c r="CV7" s="79" t="s">
        <v>22</v>
      </c>
      <c r="CW7" s="79" t="s">
        <v>22</v>
      </c>
      <c r="CX7" s="79" t="s">
        <v>22</v>
      </c>
    </row>
    <row r="8" spans="2:101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258">
        <v>90.7</v>
      </c>
      <c r="AY8" s="264">
        <v>93.3</v>
      </c>
      <c r="AZ8" s="141">
        <f>AX8</f>
        <v>90.7</v>
      </c>
      <c r="BA8" s="140">
        <f>AZ8</f>
        <v>90.7</v>
      </c>
      <c r="BC8"/>
      <c r="BD8"/>
      <c r="BE8"/>
      <c r="BF8"/>
      <c r="BG8"/>
      <c r="CD8" s="72" t="s">
        <v>20</v>
      </c>
      <c r="CF8" s="72" t="s">
        <v>63</v>
      </c>
      <c r="CK8" s="72" t="s">
        <v>64</v>
      </c>
      <c r="CQ8" s="72" t="s">
        <v>65</v>
      </c>
      <c r="CT8" s="72" t="s">
        <v>66</v>
      </c>
      <c r="CV8" s="72" t="s">
        <v>67</v>
      </c>
      <c r="CW8" s="72" t="s">
        <v>68</v>
      </c>
    </row>
    <row r="9" spans="2:101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258">
        <v>82.3</v>
      </c>
      <c r="AY9" s="264">
        <v>85.1</v>
      </c>
      <c r="AZ9" s="141">
        <f>AX9</f>
        <v>82.3</v>
      </c>
      <c r="BA9" s="140">
        <f>AZ9</f>
        <v>82.3</v>
      </c>
      <c r="BC9"/>
      <c r="BD9"/>
      <c r="BE9"/>
      <c r="BF9"/>
      <c r="BG9"/>
      <c r="CD9" s="72" t="s">
        <v>70</v>
      </c>
      <c r="CF9" s="72" t="s">
        <v>71</v>
      </c>
      <c r="CH9" s="72" t="s">
        <v>73</v>
      </c>
      <c r="CI9" s="72" t="s">
        <v>74</v>
      </c>
      <c r="CJ9" s="72" t="s">
        <v>75</v>
      </c>
      <c r="CK9" s="72" t="s">
        <v>76</v>
      </c>
      <c r="CN9" s="72" t="s">
        <v>77</v>
      </c>
      <c r="CP9" s="72" t="s">
        <v>78</v>
      </c>
      <c r="CQ9" s="72" t="s">
        <v>79</v>
      </c>
      <c r="CS9" s="72" t="s">
        <v>80</v>
      </c>
      <c r="CT9" s="72" t="s">
        <v>81</v>
      </c>
      <c r="CU9" s="72" t="s">
        <v>82</v>
      </c>
      <c r="CV9" s="72" t="s">
        <v>85</v>
      </c>
      <c r="CW9" s="72" t="s">
        <v>86</v>
      </c>
    </row>
    <row r="10" spans="2:101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88">
        <v>171.4</v>
      </c>
      <c r="AY10" s="265">
        <v>176.5</v>
      </c>
      <c r="AZ10" s="140">
        <f>MIN(AI10:AX10)</f>
        <v>123.11</v>
      </c>
      <c r="BA10" s="140">
        <f>MAX(AI10:AX10)</f>
        <v>176.6</v>
      </c>
      <c r="BC10"/>
      <c r="BD10"/>
      <c r="BE10"/>
      <c r="BF10"/>
      <c r="BG10"/>
      <c r="CD10" s="72" t="s">
        <v>87</v>
      </c>
      <c r="CF10" s="72" t="s">
        <v>88</v>
      </c>
      <c r="CH10" s="72" t="s">
        <v>89</v>
      </c>
      <c r="CK10" s="72" t="s">
        <v>90</v>
      </c>
      <c r="CM10" s="72" t="s">
        <v>91</v>
      </c>
      <c r="CN10" s="72" t="s">
        <v>92</v>
      </c>
      <c r="CO10" s="72" t="s">
        <v>93</v>
      </c>
      <c r="CP10" s="72" t="s">
        <v>94</v>
      </c>
      <c r="CQ10" s="72" t="s">
        <v>95</v>
      </c>
      <c r="CS10" s="72" t="s">
        <v>96</v>
      </c>
      <c r="CT10" s="72" t="s">
        <v>97</v>
      </c>
      <c r="CV10" s="72" t="s">
        <v>98</v>
      </c>
      <c r="CW10" s="72" t="s">
        <v>99</v>
      </c>
    </row>
    <row r="11" spans="2:93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9">
        <f>AX9/AX8</f>
        <v>0.9073869900771775</v>
      </c>
      <c r="AY11" s="266">
        <f>AY9/AY8</f>
        <v>0.9121114683815648</v>
      </c>
      <c r="AZ11" s="142"/>
      <c r="BA11" s="143"/>
      <c r="BC11"/>
      <c r="BD11"/>
      <c r="BE11"/>
      <c r="BF11"/>
      <c r="BG11"/>
      <c r="CD11" s="71" t="s">
        <v>100</v>
      </c>
      <c r="CK11" s="72" t="s">
        <v>101</v>
      </c>
      <c r="CN11" s="72" t="s">
        <v>102</v>
      </c>
      <c r="CO11" s="72" t="s">
        <v>103</v>
      </c>
    </row>
    <row r="12" spans="2:102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>AP9*AP10</f>
        <v>10754.8896</v>
      </c>
      <c r="AQ12" s="203">
        <f>AQ9*AQ10</f>
        <v>13829.007</v>
      </c>
      <c r="AR12" s="203">
        <f>AR9*AR10</f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60">
        <v>14111</v>
      </c>
      <c r="AY12" s="267">
        <v>15019</v>
      </c>
      <c r="AZ12" s="249">
        <f>AZ9*AZ10</f>
        <v>10131.953</v>
      </c>
      <c r="BA12" s="249">
        <f>BA9*BA10</f>
        <v>14534.179999999998</v>
      </c>
      <c r="BC12"/>
      <c r="BD12"/>
      <c r="BE12"/>
      <c r="BF12"/>
      <c r="BG12"/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  <c r="CX12" s="79" t="s">
        <v>22</v>
      </c>
    </row>
    <row r="13" spans="2:101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5" ref="AN13:AS13">AM34</f>
        <v>1708</v>
      </c>
      <c r="AO13" s="203">
        <f t="shared" si="5"/>
        <v>1128</v>
      </c>
      <c r="AP13" s="203">
        <f t="shared" si="5"/>
        <v>989</v>
      </c>
      <c r="AQ13" s="203">
        <f t="shared" si="5"/>
        <v>820.8896000000004</v>
      </c>
      <c r="AR13" s="203">
        <f t="shared" si="5"/>
        <v>1231.8966</v>
      </c>
      <c r="AS13" s="203">
        <f t="shared" si="5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94">
        <f>AW34</f>
        <v>1919</v>
      </c>
      <c r="AY13" s="268">
        <f>AX34</f>
        <v>1236</v>
      </c>
      <c r="AZ13" s="143">
        <f>AX13</f>
        <v>1919</v>
      </c>
      <c r="BA13" s="143">
        <f>AZ13</f>
        <v>1919</v>
      </c>
      <c r="BC13"/>
      <c r="BD13"/>
      <c r="BE13"/>
      <c r="BF13"/>
      <c r="BG13"/>
      <c r="CN13" s="72" t="s">
        <v>106</v>
      </c>
      <c r="CW13" s="72" t="s">
        <v>107</v>
      </c>
    </row>
    <row r="14" spans="2:101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94">
        <v>24</v>
      </c>
      <c r="AY14" s="268">
        <v>25</v>
      </c>
      <c r="AZ14" s="143">
        <f>AX14</f>
        <v>24</v>
      </c>
      <c r="BA14" s="143">
        <f>AZ14</f>
        <v>24</v>
      </c>
      <c r="BC14"/>
      <c r="BD14"/>
      <c r="BE14"/>
      <c r="BF14"/>
      <c r="BG14"/>
      <c r="CD14" s="96" t="s">
        <v>109</v>
      </c>
      <c r="CF14" s="92">
        <v>844</v>
      </c>
      <c r="CH14" s="92">
        <v>2764</v>
      </c>
      <c r="CI14" s="92">
        <v>1</v>
      </c>
      <c r="CJ14" s="92">
        <v>3609</v>
      </c>
      <c r="CK14" s="92">
        <v>271</v>
      </c>
      <c r="CN14" s="92">
        <v>2482</v>
      </c>
      <c r="CO14" s="92">
        <v>2753</v>
      </c>
      <c r="CP14" s="92">
        <v>117</v>
      </c>
      <c r="CQ14" s="92">
        <v>2870</v>
      </c>
      <c r="CS14" s="92">
        <v>403</v>
      </c>
      <c r="CT14" s="92">
        <f aca="true" t="shared" si="6" ref="CT14:CT37">CU14-CS14</f>
        <v>336</v>
      </c>
      <c r="CU14" s="92">
        <v>739</v>
      </c>
      <c r="CV14" s="97">
        <f aca="true" t="shared" si="7" ref="CV14:CV58">CU14/CQ14</f>
        <v>0.25749128919860625</v>
      </c>
      <c r="CW14" s="98">
        <v>1.52</v>
      </c>
    </row>
    <row r="15" spans="2:101" ht="12.75">
      <c r="B15" s="193" t="s">
        <v>255</v>
      </c>
      <c r="C15" s="92">
        <f aca="true" t="shared" si="8" ref="C15:AK15">SUM(C12:C14)</f>
        <v>6380</v>
      </c>
      <c r="D15" s="92">
        <f t="shared" si="8"/>
        <v>5187</v>
      </c>
      <c r="E15" s="92">
        <f t="shared" si="8"/>
        <v>6401</v>
      </c>
      <c r="F15" s="92">
        <f t="shared" si="8"/>
        <v>6924</v>
      </c>
      <c r="G15" s="92">
        <f t="shared" si="8"/>
        <v>7643</v>
      </c>
      <c r="H15" s="92">
        <f t="shared" si="8"/>
        <v>8705</v>
      </c>
      <c r="I15" s="92">
        <f t="shared" si="8"/>
        <v>9639</v>
      </c>
      <c r="J15" s="92">
        <f t="shared" si="8"/>
        <v>8675</v>
      </c>
      <c r="K15" s="92">
        <f t="shared" si="8"/>
        <v>9512</v>
      </c>
      <c r="L15" s="92">
        <f t="shared" si="8"/>
        <v>10773</v>
      </c>
      <c r="M15" s="92">
        <f t="shared" si="8"/>
        <v>7699</v>
      </c>
      <c r="N15" s="92">
        <f t="shared" si="8"/>
        <v>8680</v>
      </c>
      <c r="O15" s="92">
        <f t="shared" si="8"/>
        <v>10533</v>
      </c>
      <c r="P15" s="92">
        <f t="shared" si="8"/>
        <v>12267.764</v>
      </c>
      <c r="Q15" s="92">
        <f t="shared" si="8"/>
        <v>12016.3</v>
      </c>
      <c r="R15" s="92">
        <f t="shared" si="8"/>
        <v>9190.681</v>
      </c>
      <c r="S15" s="92">
        <f t="shared" si="8"/>
        <v>9463.953000000001</v>
      </c>
      <c r="T15" s="92">
        <f t="shared" si="8"/>
        <v>9281.028</v>
      </c>
      <c r="U15" s="92">
        <f t="shared" si="8"/>
        <v>9015.765</v>
      </c>
      <c r="V15" s="92">
        <f t="shared" si="8"/>
        <v>10583.698</v>
      </c>
      <c r="W15" s="92">
        <f t="shared" si="8"/>
        <v>8470.470000000001</v>
      </c>
      <c r="X15" s="92">
        <f t="shared" si="8"/>
        <v>10962.295</v>
      </c>
      <c r="Y15" s="92">
        <f t="shared" si="8"/>
        <v>8948.171</v>
      </c>
      <c r="Z15" s="92">
        <f t="shared" si="8"/>
        <v>9672</v>
      </c>
      <c r="AA15" s="92">
        <f t="shared" si="8"/>
        <v>10099</v>
      </c>
      <c r="AB15" s="92">
        <f t="shared" si="8"/>
        <v>11085.6</v>
      </c>
      <c r="AC15" s="86">
        <f t="shared" si="8"/>
        <v>11233.1</v>
      </c>
      <c r="AD15" s="86">
        <f t="shared" si="8"/>
        <v>11640.1</v>
      </c>
      <c r="AE15" s="86">
        <f t="shared" si="8"/>
        <v>11417.1</v>
      </c>
      <c r="AF15" s="86">
        <f t="shared" si="8"/>
        <v>10577</v>
      </c>
      <c r="AG15" s="86">
        <f t="shared" si="8"/>
        <v>11190</v>
      </c>
      <c r="AH15" s="86">
        <f t="shared" si="8"/>
        <v>12776</v>
      </c>
      <c r="AI15" s="86">
        <f t="shared" si="8"/>
        <v>13237</v>
      </c>
      <c r="AJ15" s="86">
        <f t="shared" si="8"/>
        <v>12514</v>
      </c>
      <c r="AK15" s="93">
        <f t="shared" si="8"/>
        <v>14398</v>
      </c>
      <c r="AL15" s="93">
        <v>13729</v>
      </c>
      <c r="AM15" s="94">
        <f aca="true" t="shared" si="9" ref="AM15:BA15">SUM(AM12:AM14)</f>
        <v>14773</v>
      </c>
      <c r="AN15" s="94">
        <f t="shared" si="9"/>
        <v>14183</v>
      </c>
      <c r="AO15" s="94">
        <f t="shared" si="9"/>
        <v>13517</v>
      </c>
      <c r="AP15" s="94">
        <f t="shared" si="9"/>
        <v>11903.8896</v>
      </c>
      <c r="AQ15" s="94">
        <f t="shared" si="9"/>
        <v>14685.8966</v>
      </c>
      <c r="AR15" s="94">
        <f t="shared" si="9"/>
        <v>15479.079000000002</v>
      </c>
      <c r="AS15" s="94">
        <v>15401</v>
      </c>
      <c r="AT15" s="94">
        <f t="shared" si="9"/>
        <v>16942.2736</v>
      </c>
      <c r="AU15" s="94">
        <v>16939</v>
      </c>
      <c r="AV15" s="94">
        <v>16509</v>
      </c>
      <c r="AW15" s="94">
        <v>15883</v>
      </c>
      <c r="AX15" s="94">
        <v>16055</v>
      </c>
      <c r="AY15" s="268">
        <v>16280</v>
      </c>
      <c r="AZ15" s="143">
        <f t="shared" si="9"/>
        <v>12074.953</v>
      </c>
      <c r="BA15" s="143">
        <f t="shared" si="9"/>
        <v>16477.18</v>
      </c>
      <c r="BC15"/>
      <c r="BD15"/>
      <c r="BE15"/>
      <c r="BF15"/>
      <c r="BG15"/>
      <c r="CD15" s="96" t="s">
        <v>111</v>
      </c>
      <c r="CF15" s="92">
        <v>487</v>
      </c>
      <c r="CH15" s="92">
        <v>2981</v>
      </c>
      <c r="CI15" s="92">
        <v>1</v>
      </c>
      <c r="CJ15" s="92">
        <v>3469</v>
      </c>
      <c r="CK15" s="92">
        <v>243</v>
      </c>
      <c r="CN15" s="92">
        <v>2312</v>
      </c>
      <c r="CO15" s="92">
        <v>2555</v>
      </c>
      <c r="CP15" s="92">
        <v>145</v>
      </c>
      <c r="CQ15" s="92">
        <v>2700</v>
      </c>
      <c r="CS15" s="92">
        <v>236</v>
      </c>
      <c r="CT15" s="92">
        <f t="shared" si="6"/>
        <v>533</v>
      </c>
      <c r="CU15" s="92">
        <v>769</v>
      </c>
      <c r="CV15" s="97">
        <f t="shared" si="7"/>
        <v>0.2848148148148148</v>
      </c>
      <c r="CW15" s="98">
        <v>1.52</v>
      </c>
    </row>
    <row r="16" spans="2:101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93"/>
      <c r="AY16" s="269"/>
      <c r="AZ16" s="142"/>
      <c r="BA16" s="143"/>
      <c r="BC16"/>
      <c r="BD16"/>
      <c r="BE16"/>
      <c r="BF16"/>
      <c r="BG16"/>
      <c r="CD16" s="96" t="s">
        <v>112</v>
      </c>
      <c r="CF16" s="92">
        <v>769</v>
      </c>
      <c r="CH16" s="92">
        <v>2882</v>
      </c>
      <c r="CI16" s="92">
        <v>1</v>
      </c>
      <c r="CJ16" s="92">
        <v>3652</v>
      </c>
      <c r="CK16" s="92">
        <v>241</v>
      </c>
      <c r="CN16" s="92">
        <v>2387</v>
      </c>
      <c r="CO16" s="92">
        <v>2628</v>
      </c>
      <c r="CP16" s="92">
        <v>104</v>
      </c>
      <c r="CQ16" s="92">
        <v>2732</v>
      </c>
      <c r="CS16" s="92">
        <v>353</v>
      </c>
      <c r="CT16" s="92">
        <f t="shared" si="6"/>
        <v>567</v>
      </c>
      <c r="CU16" s="92">
        <v>920</v>
      </c>
      <c r="CV16" s="97">
        <f t="shared" si="7"/>
        <v>0.3367496339677892</v>
      </c>
      <c r="CW16" s="98">
        <v>1.48</v>
      </c>
    </row>
    <row r="17" spans="2:101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0" ref="AF17:AK17">AF22/AF10</f>
        <v>7.698867848778855</v>
      </c>
      <c r="AG17" s="89">
        <f t="shared" si="10"/>
        <v>8.208068193081575</v>
      </c>
      <c r="AH17" s="89">
        <f t="shared" si="10"/>
        <v>8.247039891589734</v>
      </c>
      <c r="AI17" s="89">
        <f t="shared" si="10"/>
        <v>10.831860716213784</v>
      </c>
      <c r="AJ17" s="89">
        <f t="shared" si="10"/>
        <v>14.21007233032748</v>
      </c>
      <c r="AK17" s="89">
        <f t="shared" si="10"/>
        <v>20.02057518739483</v>
      </c>
      <c r="AL17" s="89">
        <f aca="true" t="shared" si="11" ref="AL17:AS17">AL22/AL10</f>
        <v>24.118315415150512</v>
      </c>
      <c r="AM17" s="89">
        <f t="shared" si="11"/>
        <v>27.878437213565537</v>
      </c>
      <c r="AN17" s="225">
        <f t="shared" si="11"/>
        <v>32.846858638743456</v>
      </c>
      <c r="AO17" s="225">
        <f t="shared" si="11"/>
        <v>33.97431541754434</v>
      </c>
      <c r="AP17" s="225">
        <f t="shared" si="11"/>
        <v>37.69799366420275</v>
      </c>
      <c r="AQ17" s="225">
        <f t="shared" si="11"/>
        <v>32.409867172675526</v>
      </c>
      <c r="AR17" s="225">
        <f t="shared" si="11"/>
        <v>30.40580049117062</v>
      </c>
      <c r="AS17" s="225">
        <f t="shared" si="11"/>
        <v>31.012353887526785</v>
      </c>
      <c r="AT17" s="225">
        <f aca="true" t="shared" si="12" ref="AT17:AY17">AT22/AT10</f>
        <v>31.10398534127348</v>
      </c>
      <c r="AU17" s="225">
        <f t="shared" si="12"/>
        <v>31.738391845979617</v>
      </c>
      <c r="AV17" s="225">
        <f t="shared" si="12"/>
        <v>30.4875283446712</v>
      </c>
      <c r="AW17" s="225">
        <f t="shared" si="12"/>
        <v>28.997014925373133</v>
      </c>
      <c r="AX17" s="261">
        <f t="shared" si="12"/>
        <v>29.358226371061843</v>
      </c>
      <c r="AY17" s="270">
        <f t="shared" si="12"/>
        <v>29.46175637393768</v>
      </c>
      <c r="AZ17" s="250">
        <f>AX17</f>
        <v>29.358226371061843</v>
      </c>
      <c r="BA17" s="251">
        <f>AZ17</f>
        <v>29.358226371061843</v>
      </c>
      <c r="BC17"/>
      <c r="BD17"/>
      <c r="BE17"/>
      <c r="BF17"/>
      <c r="BG17"/>
      <c r="CD17" s="96" t="s">
        <v>115</v>
      </c>
      <c r="CF17" s="92">
        <v>920</v>
      </c>
      <c r="CH17" s="92">
        <v>2708</v>
      </c>
      <c r="CI17" s="92">
        <v>1</v>
      </c>
      <c r="CJ17" s="92">
        <v>3629</v>
      </c>
      <c r="CK17" s="92">
        <v>249</v>
      </c>
      <c r="CN17" s="92">
        <v>2242</v>
      </c>
      <c r="CO17" s="92">
        <v>2491</v>
      </c>
      <c r="CP17" s="92">
        <v>103</v>
      </c>
      <c r="CQ17" s="92">
        <v>2594</v>
      </c>
      <c r="CS17" s="92">
        <v>381</v>
      </c>
      <c r="CT17" s="92">
        <f t="shared" si="6"/>
        <v>654</v>
      </c>
      <c r="CU17" s="92">
        <v>1035</v>
      </c>
      <c r="CV17" s="97">
        <f t="shared" si="7"/>
        <v>0.3989976869699306</v>
      </c>
      <c r="CW17" s="98">
        <v>1.43</v>
      </c>
    </row>
    <row r="18" spans="2:101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93"/>
      <c r="AY18" s="269"/>
      <c r="AZ18" s="142"/>
      <c r="BA18" s="143"/>
      <c r="BC18"/>
      <c r="BD18"/>
      <c r="BE18"/>
      <c r="BF18"/>
      <c r="BG18"/>
      <c r="CD18" s="96" t="s">
        <v>117</v>
      </c>
      <c r="CF18" s="92">
        <v>1035</v>
      </c>
      <c r="CH18" s="92">
        <v>2873</v>
      </c>
      <c r="CI18" s="92">
        <v>1</v>
      </c>
      <c r="CJ18" s="92">
        <v>3909</v>
      </c>
      <c r="CK18" s="92">
        <v>258</v>
      </c>
      <c r="CN18" s="92">
        <v>2366</v>
      </c>
      <c r="CO18" s="92">
        <v>2624</v>
      </c>
      <c r="CP18" s="92">
        <v>120</v>
      </c>
      <c r="CQ18" s="92">
        <v>2744</v>
      </c>
      <c r="CS18" s="92">
        <v>818</v>
      </c>
      <c r="CT18" s="92">
        <f t="shared" si="6"/>
        <v>347</v>
      </c>
      <c r="CU18" s="92">
        <v>1165</v>
      </c>
      <c r="CV18" s="97">
        <f t="shared" si="7"/>
        <v>0.42456268221574345</v>
      </c>
      <c r="CW18" s="98">
        <v>1.35</v>
      </c>
    </row>
    <row r="19" spans="2:101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93"/>
      <c r="AY19" s="269"/>
      <c r="AZ19" s="142"/>
      <c r="BA19" s="143"/>
      <c r="BC19"/>
      <c r="BD19"/>
      <c r="BE19"/>
      <c r="BF19"/>
      <c r="BG19"/>
      <c r="CD19" s="96" t="s">
        <v>119</v>
      </c>
      <c r="CF19" s="92">
        <v>1165</v>
      </c>
      <c r="CH19" s="92">
        <v>3075</v>
      </c>
      <c r="CI19" s="92">
        <v>1</v>
      </c>
      <c r="CJ19" s="92">
        <v>4241</v>
      </c>
      <c r="CK19" s="92">
        <v>260</v>
      </c>
      <c r="CN19" s="92">
        <v>2378</v>
      </c>
      <c r="CO19" s="92">
        <v>2638</v>
      </c>
      <c r="CP19" s="92">
        <v>184</v>
      </c>
      <c r="CQ19" s="92">
        <v>2822</v>
      </c>
      <c r="CS19" s="92">
        <v>932</v>
      </c>
      <c r="CT19" s="92">
        <f t="shared" si="6"/>
        <v>487</v>
      </c>
      <c r="CU19" s="92">
        <v>1419</v>
      </c>
      <c r="CV19" s="97">
        <f t="shared" si="7"/>
        <v>0.502834868887314</v>
      </c>
      <c r="CW19" s="98">
        <v>1.29</v>
      </c>
    </row>
    <row r="20" spans="2:101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93"/>
      <c r="AY20" s="269"/>
      <c r="AZ20" s="142"/>
      <c r="BA20" s="143"/>
      <c r="BC20"/>
      <c r="BD20"/>
      <c r="BE20"/>
      <c r="BF20"/>
      <c r="BG20"/>
      <c r="CD20" s="96" t="s">
        <v>120</v>
      </c>
      <c r="CF20" s="92">
        <v>1419</v>
      </c>
      <c r="CH20" s="92">
        <v>3045</v>
      </c>
      <c r="CI20" s="92">
        <v>2</v>
      </c>
      <c r="CJ20" s="92">
        <v>4466</v>
      </c>
      <c r="CK20" s="92">
        <v>263</v>
      </c>
      <c r="CN20" s="92">
        <v>2534</v>
      </c>
      <c r="CO20" s="92">
        <v>2797</v>
      </c>
      <c r="CP20" s="92">
        <v>200</v>
      </c>
      <c r="CQ20" s="92">
        <v>2997</v>
      </c>
      <c r="CS20" s="92">
        <v>1101</v>
      </c>
      <c r="CT20" s="92">
        <f t="shared" si="6"/>
        <v>368</v>
      </c>
      <c r="CU20" s="92">
        <v>1469</v>
      </c>
      <c r="CV20" s="97">
        <f t="shared" si="7"/>
        <v>0.4901568234901568</v>
      </c>
      <c r="CW20" s="98">
        <v>1.11</v>
      </c>
    </row>
    <row r="21" spans="2:101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6286</v>
      </c>
      <c r="AX21" s="262">
        <v>6469</v>
      </c>
      <c r="AY21" s="271">
        <v>6630</v>
      </c>
      <c r="AZ21" s="147">
        <f>AX21</f>
        <v>6469</v>
      </c>
      <c r="BA21" s="146">
        <f>AZ21</f>
        <v>6469</v>
      </c>
      <c r="BC21"/>
      <c r="BD21"/>
      <c r="BE21"/>
      <c r="BF21"/>
      <c r="BG21"/>
      <c r="CD21" s="96" t="s">
        <v>122</v>
      </c>
      <c r="CF21" s="92">
        <v>1469</v>
      </c>
      <c r="CH21" s="92">
        <v>3356</v>
      </c>
      <c r="CI21" s="92">
        <v>1</v>
      </c>
      <c r="CJ21" s="92">
        <v>4826</v>
      </c>
      <c r="CK21" s="92">
        <v>289</v>
      </c>
      <c r="CN21" s="92">
        <v>2783</v>
      </c>
      <c r="CO21" s="92">
        <v>3072</v>
      </c>
      <c r="CP21" s="92">
        <v>230</v>
      </c>
      <c r="CQ21" s="92">
        <v>3302</v>
      </c>
      <c r="CS21" s="92">
        <v>1153</v>
      </c>
      <c r="CT21" s="92">
        <f t="shared" si="6"/>
        <v>371</v>
      </c>
      <c r="CU21" s="92">
        <v>1524</v>
      </c>
      <c r="CV21" s="97">
        <f t="shared" si="7"/>
        <v>0.46153846153846156</v>
      </c>
      <c r="CW21" s="98">
        <v>1.12</v>
      </c>
    </row>
    <row r="22" spans="2:101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4857</v>
      </c>
      <c r="AX22" s="262">
        <v>5032</v>
      </c>
      <c r="AY22" s="271">
        <v>5200</v>
      </c>
      <c r="AZ22" s="147">
        <f>AX22</f>
        <v>5032</v>
      </c>
      <c r="BA22" s="146">
        <f>AZ22</f>
        <v>5032</v>
      </c>
      <c r="BC22"/>
      <c r="BD22"/>
      <c r="BE22"/>
      <c r="BF22"/>
      <c r="BG22"/>
      <c r="CD22" s="96" t="s">
        <v>123</v>
      </c>
      <c r="CF22" s="92">
        <v>1524</v>
      </c>
      <c r="CH22" s="92">
        <v>3825</v>
      </c>
      <c r="CI22" s="92">
        <v>1</v>
      </c>
      <c r="CJ22" s="92">
        <v>5350</v>
      </c>
      <c r="CK22" s="92">
        <v>290</v>
      </c>
      <c r="CN22" s="92">
        <v>3043</v>
      </c>
      <c r="CO22" s="92">
        <v>3333</v>
      </c>
      <c r="CP22" s="92">
        <v>230</v>
      </c>
      <c r="CQ22" s="92">
        <v>3563</v>
      </c>
      <c r="CS22" s="92">
        <v>1286</v>
      </c>
      <c r="CT22" s="92">
        <f t="shared" si="6"/>
        <v>501</v>
      </c>
      <c r="CU22" s="92">
        <v>1787</v>
      </c>
      <c r="CV22" s="97">
        <f t="shared" si="7"/>
        <v>0.501543642997474</v>
      </c>
      <c r="CW22" s="98">
        <v>1.05</v>
      </c>
    </row>
    <row r="23" spans="2:101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3" ref="AG23:AM23">(AG22/AF22)-1</f>
        <v>0.17269076305220876</v>
      </c>
      <c r="AH23" s="100">
        <f t="shared" si="13"/>
        <v>0.1327054794520548</v>
      </c>
      <c r="AI23" s="100">
        <f t="shared" si="13"/>
        <v>0.21164021164021163</v>
      </c>
      <c r="AJ23" s="100">
        <f t="shared" si="13"/>
        <v>0.32189644416718655</v>
      </c>
      <c r="AK23" s="101">
        <f t="shared" si="13"/>
        <v>0.4280320906087778</v>
      </c>
      <c r="AL23" s="101">
        <f t="shared" si="13"/>
        <v>0.22571050892267008</v>
      </c>
      <c r="AM23" s="101">
        <f t="shared" si="13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4" ref="AQ23:AY23">(AQ22/AP22)-1</f>
        <v>0.10407239819004532</v>
      </c>
      <c r="AR23" s="101">
        <f t="shared" si="14"/>
        <v>0.014832162373145996</v>
      </c>
      <c r="AS23" s="101">
        <f t="shared" si="14"/>
        <v>0.004615384615384688</v>
      </c>
      <c r="AT23" s="101">
        <f t="shared" si="14"/>
        <v>0.039816232771822335</v>
      </c>
      <c r="AU23" s="101">
        <f t="shared" si="14"/>
        <v>0.031848306332842524</v>
      </c>
      <c r="AV23" s="101">
        <f t="shared" si="14"/>
        <v>-0.04049955396966998</v>
      </c>
      <c r="AW23" s="101">
        <f t="shared" si="14"/>
        <v>-0.0968761621420603</v>
      </c>
      <c r="AX23" s="101">
        <f t="shared" si="14"/>
        <v>0.036030471484455484</v>
      </c>
      <c r="AY23" s="272">
        <f t="shared" si="14"/>
        <v>0.03338632750397452</v>
      </c>
      <c r="AZ23" s="227">
        <f>AX23</f>
        <v>0.036030471484455484</v>
      </c>
      <c r="BA23" s="227">
        <f>AZ23</f>
        <v>0.036030471484455484</v>
      </c>
      <c r="BC23"/>
      <c r="BD23"/>
      <c r="BE23"/>
      <c r="BF23"/>
      <c r="BG23"/>
      <c r="CD23" s="96" t="s">
        <v>125</v>
      </c>
      <c r="CF23" s="92">
        <v>1787</v>
      </c>
      <c r="CH23" s="92">
        <v>3907</v>
      </c>
      <c r="CI23" s="92">
        <v>1</v>
      </c>
      <c r="CJ23" s="92">
        <v>5695</v>
      </c>
      <c r="CK23" s="92">
        <v>295</v>
      </c>
      <c r="CN23" s="92">
        <v>3092</v>
      </c>
      <c r="CO23" s="92">
        <v>3387</v>
      </c>
      <c r="CP23" s="92">
        <v>292</v>
      </c>
      <c r="CQ23" s="92">
        <v>3679</v>
      </c>
      <c r="CS23" s="92">
        <v>1327</v>
      </c>
      <c r="CT23" s="92">
        <f t="shared" si="6"/>
        <v>689</v>
      </c>
      <c r="CU23" s="92">
        <v>2016</v>
      </c>
      <c r="CV23" s="97">
        <f t="shared" si="7"/>
        <v>0.5479749932046751</v>
      </c>
      <c r="CW23" s="98">
        <v>1</v>
      </c>
    </row>
    <row r="24" spans="2:101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93"/>
      <c r="AY24" s="269"/>
      <c r="AZ24" s="142"/>
      <c r="BA24" s="143"/>
      <c r="BC24"/>
      <c r="BD24"/>
      <c r="BE24"/>
      <c r="BF24"/>
      <c r="BG24"/>
      <c r="CD24" s="96" t="s">
        <v>126</v>
      </c>
      <c r="CF24" s="92">
        <v>2013</v>
      </c>
      <c r="CH24" s="92">
        <v>3598</v>
      </c>
      <c r="CI24" s="92">
        <v>2</v>
      </c>
      <c r="CJ24" s="92">
        <v>5616</v>
      </c>
      <c r="CK24" s="92">
        <v>315</v>
      </c>
      <c r="CN24" s="92">
        <v>3213</v>
      </c>
      <c r="CO24" s="92">
        <v>3528</v>
      </c>
      <c r="CP24" s="92">
        <v>435</v>
      </c>
      <c r="CQ24" s="92">
        <v>3963</v>
      </c>
      <c r="CS24" s="92">
        <v>888</v>
      </c>
      <c r="CT24" s="92">
        <f t="shared" si="6"/>
        <v>765</v>
      </c>
      <c r="CU24" s="92">
        <v>1653</v>
      </c>
      <c r="CV24" s="97">
        <f t="shared" si="7"/>
        <v>0.417108251324754</v>
      </c>
      <c r="CW24" s="98">
        <v>1.1</v>
      </c>
    </row>
    <row r="25" spans="2:101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5900</v>
      </c>
      <c r="AX25" s="262">
        <v>5597</v>
      </c>
      <c r="AY25" s="271">
        <v>5650</v>
      </c>
      <c r="AZ25" s="147">
        <f>AX25</f>
        <v>5597</v>
      </c>
      <c r="BA25" s="146">
        <f>AZ25</f>
        <v>5597</v>
      </c>
      <c r="BC25"/>
      <c r="BD25"/>
      <c r="BE25"/>
      <c r="BF25"/>
      <c r="BG25"/>
      <c r="CD25" s="96" t="s">
        <v>128</v>
      </c>
      <c r="CF25" s="92">
        <v>1653</v>
      </c>
      <c r="CH25" s="92">
        <v>3606</v>
      </c>
      <c r="CI25" s="92">
        <v>1</v>
      </c>
      <c r="CJ25" s="92">
        <v>5260</v>
      </c>
      <c r="CK25" s="92">
        <v>323</v>
      </c>
      <c r="CN25" s="92">
        <v>3156</v>
      </c>
      <c r="CO25" s="92">
        <v>3479</v>
      </c>
      <c r="CP25" s="92">
        <v>416</v>
      </c>
      <c r="CQ25" s="92">
        <v>3895</v>
      </c>
      <c r="CS25" s="92">
        <v>810</v>
      </c>
      <c r="CT25" s="92">
        <f t="shared" si="6"/>
        <v>555</v>
      </c>
      <c r="CU25" s="92">
        <v>1365</v>
      </c>
      <c r="CV25" s="97">
        <f t="shared" si="7"/>
        <v>0.3504492939666239</v>
      </c>
      <c r="CW25" s="98">
        <v>1.12</v>
      </c>
    </row>
    <row r="26" spans="2:101" ht="12.75">
      <c r="B26" s="193" t="s">
        <v>118</v>
      </c>
      <c r="C26" s="93">
        <f aca="true" t="shared" si="15" ref="C26:AJ26">SUM(C19,C21,C25)</f>
        <v>4653</v>
      </c>
      <c r="D26" s="93">
        <f t="shared" si="15"/>
        <v>3677</v>
      </c>
      <c r="E26" s="93">
        <f t="shared" si="15"/>
        <v>4103</v>
      </c>
      <c r="F26" s="93">
        <f t="shared" si="15"/>
        <v>4144</v>
      </c>
      <c r="G26" s="93">
        <f t="shared" si="15"/>
        <v>4311</v>
      </c>
      <c r="H26" s="93">
        <f t="shared" si="15"/>
        <v>4882</v>
      </c>
      <c r="I26" s="93">
        <f t="shared" si="15"/>
        <v>5203</v>
      </c>
      <c r="J26" s="93">
        <f t="shared" si="15"/>
        <v>4891</v>
      </c>
      <c r="K26" s="93">
        <f t="shared" si="15"/>
        <v>4978</v>
      </c>
      <c r="L26" s="93">
        <f t="shared" si="15"/>
        <v>5428</v>
      </c>
      <c r="M26" s="93">
        <f t="shared" si="15"/>
        <v>4806</v>
      </c>
      <c r="N26" s="93">
        <f t="shared" si="15"/>
        <v>5182</v>
      </c>
      <c r="O26" s="93">
        <f t="shared" si="15"/>
        <v>5267</v>
      </c>
      <c r="P26" s="93">
        <f t="shared" si="15"/>
        <v>5893</v>
      </c>
      <c r="Q26" s="93">
        <f t="shared" si="15"/>
        <v>6041</v>
      </c>
      <c r="R26" s="93">
        <f t="shared" si="15"/>
        <v>5234</v>
      </c>
      <c r="S26" s="93">
        <f t="shared" si="15"/>
        <v>5745</v>
      </c>
      <c r="T26" s="93">
        <f t="shared" si="15"/>
        <v>6036</v>
      </c>
      <c r="U26" s="93">
        <f t="shared" si="15"/>
        <v>6332</v>
      </c>
      <c r="V26" s="93">
        <f t="shared" si="15"/>
        <v>6812</v>
      </c>
      <c r="W26" s="93">
        <f t="shared" si="15"/>
        <v>6292</v>
      </c>
      <c r="X26" s="93">
        <f t="shared" si="15"/>
        <v>7227</v>
      </c>
      <c r="Y26" s="93">
        <f t="shared" si="15"/>
        <v>6294</v>
      </c>
      <c r="Z26" s="93">
        <f t="shared" si="15"/>
        <v>6994</v>
      </c>
      <c r="AA26" s="93">
        <f t="shared" si="15"/>
        <v>7287</v>
      </c>
      <c r="AB26" s="93">
        <f t="shared" si="15"/>
        <v>7317</v>
      </c>
      <c r="AC26" s="93">
        <f t="shared" si="15"/>
        <v>7578</v>
      </c>
      <c r="AD26" s="93">
        <f t="shared" si="15"/>
        <v>7799</v>
      </c>
      <c r="AE26" s="93">
        <f t="shared" si="15"/>
        <v>7924</v>
      </c>
      <c r="AF26" s="93">
        <f t="shared" si="15"/>
        <v>7903</v>
      </c>
      <c r="AG26" s="93">
        <f t="shared" si="15"/>
        <v>8332</v>
      </c>
      <c r="AH26" s="93">
        <f t="shared" si="15"/>
        <v>8848</v>
      </c>
      <c r="AI26" s="93">
        <f t="shared" si="15"/>
        <v>9122</v>
      </c>
      <c r="AJ26" s="93">
        <f t="shared" si="15"/>
        <v>9085</v>
      </c>
      <c r="AK26" s="93">
        <f aca="true" t="shared" si="16" ref="AK26:AV26">SUM(AK19,AK21,AK25)</f>
        <v>10277</v>
      </c>
      <c r="AL26" s="93">
        <f t="shared" si="16"/>
        <v>10198</v>
      </c>
      <c r="AM26" s="94">
        <f t="shared" si="16"/>
        <v>11086</v>
      </c>
      <c r="AN26" s="94">
        <f t="shared" si="16"/>
        <v>11221</v>
      </c>
      <c r="AO26" s="94">
        <f t="shared" si="16"/>
        <v>10985</v>
      </c>
      <c r="AP26" s="94">
        <f t="shared" si="16"/>
        <v>10353</v>
      </c>
      <c r="AQ26" s="94">
        <f t="shared" si="16"/>
        <v>11534</v>
      </c>
      <c r="AR26" s="94">
        <f t="shared" si="16"/>
        <v>11881</v>
      </c>
      <c r="AS26" s="94">
        <v>11763</v>
      </c>
      <c r="AT26" s="94">
        <v>12355</v>
      </c>
      <c r="AU26" s="94">
        <v>12361</v>
      </c>
      <c r="AV26" s="94">
        <f t="shared" si="16"/>
        <v>12222</v>
      </c>
      <c r="AW26" s="94">
        <v>12186</v>
      </c>
      <c r="AX26" s="262">
        <f>SUM(AX19,AX21,AX25)</f>
        <v>12066</v>
      </c>
      <c r="AY26" s="271">
        <f>SUM(AY19,AY21,AY25)</f>
        <v>12280</v>
      </c>
      <c r="AZ26" s="147">
        <f>AX26</f>
        <v>12066</v>
      </c>
      <c r="BA26" s="146">
        <f>AZ26</f>
        <v>12066</v>
      </c>
      <c r="BC26"/>
      <c r="BD26"/>
      <c r="BE26"/>
      <c r="BF26"/>
      <c r="BG26"/>
      <c r="CD26" s="96" t="s">
        <v>130</v>
      </c>
      <c r="CF26" s="92">
        <v>1365</v>
      </c>
      <c r="CH26" s="92">
        <v>4019</v>
      </c>
      <c r="CI26" s="92">
        <v>1</v>
      </c>
      <c r="CJ26" s="92">
        <v>5385</v>
      </c>
      <c r="CK26" s="92">
        <v>339</v>
      </c>
      <c r="CN26" s="92">
        <v>3009</v>
      </c>
      <c r="CO26" s="92">
        <v>3348</v>
      </c>
      <c r="CP26" s="92">
        <v>500</v>
      </c>
      <c r="CQ26" s="92">
        <v>3848</v>
      </c>
      <c r="CS26" s="92">
        <v>828</v>
      </c>
      <c r="CT26" s="92">
        <f t="shared" si="6"/>
        <v>739</v>
      </c>
      <c r="CU26" s="92">
        <v>1567</v>
      </c>
      <c r="CV26" s="97">
        <f t="shared" si="7"/>
        <v>0.4072245322245322</v>
      </c>
      <c r="CW26" s="98">
        <v>1.11</v>
      </c>
    </row>
    <row r="27" spans="2:101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93"/>
      <c r="AY27" s="269"/>
      <c r="AZ27" s="142"/>
      <c r="BA27" s="144"/>
      <c r="BC27"/>
      <c r="BD27"/>
      <c r="BE27"/>
      <c r="BF27"/>
      <c r="BG27"/>
      <c r="CD27" s="96" t="s">
        <v>132</v>
      </c>
      <c r="CF27" s="92">
        <v>1537</v>
      </c>
      <c r="CH27" s="92">
        <v>3484</v>
      </c>
      <c r="CI27" s="92">
        <v>1</v>
      </c>
      <c r="CJ27" s="92">
        <v>5022</v>
      </c>
      <c r="CK27" s="92">
        <v>349</v>
      </c>
      <c r="CN27" s="92">
        <v>2956</v>
      </c>
      <c r="CO27" s="92">
        <v>3305</v>
      </c>
      <c r="CP27" s="92">
        <v>570</v>
      </c>
      <c r="CQ27" s="92">
        <v>3875</v>
      </c>
      <c r="CS27" s="92">
        <v>541</v>
      </c>
      <c r="CT27" s="92">
        <f t="shared" si="6"/>
        <v>606</v>
      </c>
      <c r="CU27" s="92">
        <v>1147</v>
      </c>
      <c r="CV27" s="97">
        <f t="shared" si="7"/>
        <v>0.296</v>
      </c>
      <c r="CW27" s="98">
        <v>1.17</v>
      </c>
    </row>
    <row r="28" spans="2:101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93"/>
      <c r="AY28" s="269"/>
      <c r="AZ28" s="142"/>
      <c r="BA28" s="143"/>
      <c r="BC28"/>
      <c r="BD28"/>
      <c r="BE28"/>
      <c r="BF28"/>
      <c r="BG28"/>
      <c r="CD28" s="96" t="s">
        <v>134</v>
      </c>
      <c r="CF28" s="92">
        <v>1147</v>
      </c>
      <c r="CH28" s="92">
        <v>4103</v>
      </c>
      <c r="CI28" s="92">
        <v>1</v>
      </c>
      <c r="CJ28" s="92">
        <v>5251</v>
      </c>
      <c r="CK28" s="92">
        <v>360</v>
      </c>
      <c r="CN28" s="92">
        <v>3362</v>
      </c>
      <c r="CO28" s="92">
        <v>3722</v>
      </c>
      <c r="CP28" s="92">
        <v>687</v>
      </c>
      <c r="CQ28" s="92">
        <v>4409</v>
      </c>
      <c r="CS28" s="92">
        <v>249</v>
      </c>
      <c r="CT28" s="92">
        <f t="shared" si="6"/>
        <v>593</v>
      </c>
      <c r="CU28" s="92">
        <v>842</v>
      </c>
      <c r="CV28" s="97">
        <f t="shared" si="7"/>
        <v>0.1909730097527784</v>
      </c>
      <c r="CW28" s="98">
        <v>1.16</v>
      </c>
    </row>
    <row r="29" spans="2:101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1777</v>
      </c>
      <c r="AX29" s="262">
        <v>2753</v>
      </c>
      <c r="AY29" s="271">
        <v>2500</v>
      </c>
      <c r="AZ29" s="147">
        <f>AX29</f>
        <v>2753</v>
      </c>
      <c r="BA29" s="146">
        <f>AZ29</f>
        <v>2753</v>
      </c>
      <c r="BC29"/>
      <c r="BD29"/>
      <c r="BE29"/>
      <c r="BF29"/>
      <c r="BG29"/>
      <c r="CD29" s="96" t="s">
        <v>136</v>
      </c>
      <c r="CF29" s="92">
        <v>842</v>
      </c>
      <c r="CH29" s="92">
        <v>4167</v>
      </c>
      <c r="CI29" s="92">
        <v>1</v>
      </c>
      <c r="CJ29" s="92">
        <v>5010</v>
      </c>
      <c r="CK29" s="92">
        <v>364</v>
      </c>
      <c r="CN29" s="92">
        <v>3333</v>
      </c>
      <c r="CO29" s="92">
        <v>3697</v>
      </c>
      <c r="CP29" s="92">
        <v>487</v>
      </c>
      <c r="CQ29" s="92">
        <v>4184</v>
      </c>
      <c r="CS29" s="92">
        <v>139</v>
      </c>
      <c r="CT29" s="92">
        <f t="shared" si="6"/>
        <v>687</v>
      </c>
      <c r="CU29" s="92">
        <v>826</v>
      </c>
      <c r="CV29" s="97">
        <f t="shared" si="7"/>
        <v>0.1974187380497132</v>
      </c>
      <c r="CW29" s="98">
        <v>1.24</v>
      </c>
    </row>
    <row r="30" spans="2:101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263"/>
      <c r="AY30" s="273"/>
      <c r="AZ30" s="145"/>
      <c r="BA30" s="143"/>
      <c r="BC30"/>
      <c r="BD30"/>
      <c r="BE30"/>
      <c r="BF30"/>
      <c r="BG30"/>
      <c r="CD30" s="96" t="s">
        <v>137</v>
      </c>
      <c r="CF30" s="92">
        <v>826</v>
      </c>
      <c r="CH30" s="92">
        <v>4860</v>
      </c>
      <c r="CI30" s="92">
        <v>1</v>
      </c>
      <c r="CJ30" s="92">
        <v>5687</v>
      </c>
      <c r="CK30" s="92">
        <v>362</v>
      </c>
      <c r="CN30" s="92">
        <v>3524</v>
      </c>
      <c r="CO30" s="92">
        <v>3886</v>
      </c>
      <c r="CP30" s="92">
        <v>633</v>
      </c>
      <c r="CQ30" s="92">
        <v>4519</v>
      </c>
      <c r="CS30" s="92">
        <v>182</v>
      </c>
      <c r="CT30" s="92">
        <f t="shared" si="6"/>
        <v>986</v>
      </c>
      <c r="CU30" s="92">
        <v>1168</v>
      </c>
      <c r="CV30" s="97">
        <f t="shared" si="7"/>
        <v>0.25846426200486833</v>
      </c>
      <c r="CW30" s="98">
        <v>1.03</v>
      </c>
    </row>
    <row r="31" spans="2:101" ht="12.75">
      <c r="B31" s="193" t="s">
        <v>124</v>
      </c>
      <c r="C31" s="92">
        <f aca="true" t="shared" si="17" ref="C31:AG31">C26+C29</f>
        <v>5896</v>
      </c>
      <c r="D31" s="92">
        <f t="shared" si="17"/>
        <v>4826</v>
      </c>
      <c r="E31" s="92">
        <f t="shared" si="17"/>
        <v>5767</v>
      </c>
      <c r="F31" s="92">
        <f t="shared" si="17"/>
        <v>5789</v>
      </c>
      <c r="G31" s="92">
        <f t="shared" si="17"/>
        <v>6207</v>
      </c>
      <c r="H31" s="92">
        <f t="shared" si="17"/>
        <v>6995</v>
      </c>
      <c r="I31" s="92">
        <f t="shared" si="17"/>
        <v>7605</v>
      </c>
      <c r="J31" s="92">
        <f t="shared" si="17"/>
        <v>7282</v>
      </c>
      <c r="K31" s="92">
        <f t="shared" si="17"/>
        <v>6975</v>
      </c>
      <c r="L31" s="92">
        <f t="shared" si="17"/>
        <v>7249</v>
      </c>
      <c r="M31" s="92">
        <f t="shared" si="17"/>
        <v>6692</v>
      </c>
      <c r="N31" s="92">
        <f t="shared" si="17"/>
        <v>7032</v>
      </c>
      <c r="O31" s="92">
        <f t="shared" si="17"/>
        <v>6494</v>
      </c>
      <c r="P31" s="92">
        <f t="shared" si="17"/>
        <v>7385</v>
      </c>
      <c r="Q31" s="92">
        <f t="shared" si="17"/>
        <v>7757</v>
      </c>
      <c r="R31" s="92">
        <f t="shared" si="17"/>
        <v>7260</v>
      </c>
      <c r="S31" s="92">
        <f t="shared" si="17"/>
        <v>8113</v>
      </c>
      <c r="T31" s="92">
        <f t="shared" si="17"/>
        <v>7761</v>
      </c>
      <c r="U31" s="92">
        <f t="shared" si="17"/>
        <v>7916</v>
      </c>
      <c r="V31" s="92">
        <f t="shared" si="17"/>
        <v>8475</v>
      </c>
      <c r="W31" s="92">
        <f t="shared" si="17"/>
        <v>7620</v>
      </c>
      <c r="X31" s="92">
        <f t="shared" si="17"/>
        <v>9404</v>
      </c>
      <c r="Y31" s="92">
        <f t="shared" si="17"/>
        <v>8522</v>
      </c>
      <c r="Z31" s="92">
        <f t="shared" si="17"/>
        <v>8789</v>
      </c>
      <c r="AA31" s="92">
        <f t="shared" si="17"/>
        <v>8791</v>
      </c>
      <c r="AB31" s="92">
        <f t="shared" si="17"/>
        <v>9298</v>
      </c>
      <c r="AC31" s="86">
        <f t="shared" si="17"/>
        <v>9515</v>
      </c>
      <c r="AD31" s="86">
        <f t="shared" si="17"/>
        <v>9740</v>
      </c>
      <c r="AE31" s="86">
        <f t="shared" si="17"/>
        <v>9829</v>
      </c>
      <c r="AF31" s="86">
        <f t="shared" si="17"/>
        <v>9491</v>
      </c>
      <c r="AG31" s="86">
        <f t="shared" si="17"/>
        <v>10232</v>
      </c>
      <c r="AH31" s="86">
        <v>10662</v>
      </c>
      <c r="AI31" s="86">
        <f aca="true" t="shared" si="18" ref="AI31:AP31">AI26+AI29</f>
        <v>11269</v>
      </c>
      <c r="AJ31" s="86">
        <f t="shared" si="18"/>
        <v>11210</v>
      </c>
      <c r="AK31" s="87">
        <f t="shared" si="18"/>
        <v>12713</v>
      </c>
      <c r="AL31" s="93">
        <f t="shared" si="18"/>
        <v>12056</v>
      </c>
      <c r="AM31" s="94">
        <f t="shared" si="18"/>
        <v>13066</v>
      </c>
      <c r="AN31" s="94">
        <f t="shared" si="18"/>
        <v>13055</v>
      </c>
      <c r="AO31" s="94">
        <f t="shared" si="18"/>
        <v>12528</v>
      </c>
      <c r="AP31" s="94">
        <f t="shared" si="18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13963</v>
      </c>
      <c r="AX31" s="262">
        <v>14819</v>
      </c>
      <c r="AY31" s="271">
        <v>14780</v>
      </c>
      <c r="AZ31" s="147">
        <f>AX31</f>
        <v>14819</v>
      </c>
      <c r="BA31" s="146">
        <f>AZ31</f>
        <v>14819</v>
      </c>
      <c r="BC31"/>
      <c r="BD31"/>
      <c r="BE31"/>
      <c r="BF31"/>
      <c r="BG31"/>
      <c r="CD31" s="96" t="s">
        <v>139</v>
      </c>
      <c r="CF31" s="92">
        <v>1168</v>
      </c>
      <c r="CH31" s="92">
        <v>4450</v>
      </c>
      <c r="CI31" s="92">
        <v>1</v>
      </c>
      <c r="CJ31" s="92">
        <v>5619</v>
      </c>
      <c r="CK31" s="92">
        <v>359</v>
      </c>
      <c r="CN31" s="92">
        <v>3607</v>
      </c>
      <c r="CO31" s="92">
        <v>3966</v>
      </c>
      <c r="CP31" s="92">
        <v>535</v>
      </c>
      <c r="CQ31" s="92">
        <v>4501</v>
      </c>
      <c r="CS31" s="92">
        <v>295</v>
      </c>
      <c r="CT31" s="92">
        <f t="shared" si="6"/>
        <v>823</v>
      </c>
      <c r="CU31" s="92">
        <v>1118</v>
      </c>
      <c r="CV31" s="97">
        <f t="shared" si="7"/>
        <v>0.24838924683403688</v>
      </c>
      <c r="CW31" s="98">
        <v>1.08</v>
      </c>
    </row>
    <row r="32" spans="2:101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93"/>
      <c r="AY32" s="269"/>
      <c r="AZ32" s="142"/>
      <c r="BA32" s="144"/>
      <c r="BC32"/>
      <c r="BD32"/>
      <c r="BE32"/>
      <c r="BF32"/>
      <c r="BG32"/>
      <c r="CD32" s="96" t="s">
        <v>140</v>
      </c>
      <c r="CF32" s="92">
        <v>1118</v>
      </c>
      <c r="CH32" s="92">
        <v>4687</v>
      </c>
      <c r="CI32" s="92">
        <v>1</v>
      </c>
      <c r="CJ32" s="92">
        <v>5806</v>
      </c>
      <c r="CK32" s="92">
        <v>365</v>
      </c>
      <c r="CN32" s="92">
        <v>3825</v>
      </c>
      <c r="CO32" s="92">
        <v>4190</v>
      </c>
      <c r="CP32" s="92">
        <v>611</v>
      </c>
      <c r="CQ32" s="92">
        <v>4801</v>
      </c>
      <c r="CS32" s="92">
        <v>255</v>
      </c>
      <c r="CT32" s="92">
        <f t="shared" si="6"/>
        <v>750</v>
      </c>
      <c r="CU32" s="92">
        <v>1005</v>
      </c>
      <c r="CV32" s="97">
        <f t="shared" si="7"/>
        <v>0.2093313892938971</v>
      </c>
      <c r="CW32" s="98">
        <v>1.16</v>
      </c>
    </row>
    <row r="33" spans="2:101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93"/>
      <c r="AY33" s="269"/>
      <c r="AZ33" s="142"/>
      <c r="BA33" s="143"/>
      <c r="BC33"/>
      <c r="BD33"/>
      <c r="BE33"/>
      <c r="BF33"/>
      <c r="BG33"/>
      <c r="CD33" s="96" t="s">
        <v>142</v>
      </c>
      <c r="CF33" s="92">
        <v>1005</v>
      </c>
      <c r="CH33" s="92">
        <v>4152</v>
      </c>
      <c r="CI33" s="92">
        <v>4</v>
      </c>
      <c r="CJ33" s="92">
        <v>5161</v>
      </c>
      <c r="CK33" s="92">
        <v>385</v>
      </c>
      <c r="CN33" s="92">
        <v>3593</v>
      </c>
      <c r="CO33" s="92">
        <v>3978</v>
      </c>
      <c r="CP33" s="92">
        <v>517</v>
      </c>
      <c r="CQ33" s="92">
        <v>4495</v>
      </c>
      <c r="CS33" s="92">
        <v>105</v>
      </c>
      <c r="CT33" s="92">
        <f t="shared" si="6"/>
        <v>561</v>
      </c>
      <c r="CU33" s="92">
        <v>666</v>
      </c>
      <c r="CV33" s="97">
        <f t="shared" si="7"/>
        <v>0.14816462736373748</v>
      </c>
      <c r="CW33" s="98">
        <v>1.33</v>
      </c>
    </row>
    <row r="34" spans="2:101" ht="12.75">
      <c r="B34" s="193" t="s">
        <v>127</v>
      </c>
      <c r="C34" s="92">
        <f aca="true" t="shared" si="19" ref="C34:AL34">C15-C31</f>
        <v>484</v>
      </c>
      <c r="D34" s="92">
        <f t="shared" si="19"/>
        <v>361</v>
      </c>
      <c r="E34" s="92">
        <f t="shared" si="19"/>
        <v>634</v>
      </c>
      <c r="F34" s="92">
        <f t="shared" si="19"/>
        <v>1135</v>
      </c>
      <c r="G34" s="92">
        <f t="shared" si="19"/>
        <v>1436</v>
      </c>
      <c r="H34" s="92">
        <f t="shared" si="19"/>
        <v>1710</v>
      </c>
      <c r="I34" s="92">
        <f t="shared" si="19"/>
        <v>2034</v>
      </c>
      <c r="J34" s="92">
        <f t="shared" si="19"/>
        <v>1393</v>
      </c>
      <c r="K34" s="92">
        <f t="shared" si="19"/>
        <v>2537</v>
      </c>
      <c r="L34" s="92">
        <f t="shared" si="19"/>
        <v>3524</v>
      </c>
      <c r="M34" s="92">
        <f t="shared" si="19"/>
        <v>1007</v>
      </c>
      <c r="N34" s="92">
        <f t="shared" si="19"/>
        <v>1648</v>
      </c>
      <c r="O34" s="92">
        <f t="shared" si="19"/>
        <v>4039</v>
      </c>
      <c r="P34" s="92">
        <f t="shared" si="19"/>
        <v>4882.763999999999</v>
      </c>
      <c r="Q34" s="92">
        <f t="shared" si="19"/>
        <v>4259.299999999999</v>
      </c>
      <c r="R34" s="92">
        <f t="shared" si="19"/>
        <v>1930.6810000000005</v>
      </c>
      <c r="S34" s="92">
        <f t="shared" si="19"/>
        <v>1350.9530000000013</v>
      </c>
      <c r="T34" s="92">
        <f t="shared" si="19"/>
        <v>1520.0280000000002</v>
      </c>
      <c r="U34" s="92">
        <f t="shared" si="19"/>
        <v>1099.7649999999994</v>
      </c>
      <c r="V34" s="92">
        <f t="shared" si="19"/>
        <v>2108.6980000000003</v>
      </c>
      <c r="W34" s="92">
        <f t="shared" si="19"/>
        <v>850.4700000000012</v>
      </c>
      <c r="X34" s="92">
        <f t="shared" si="19"/>
        <v>1558.295</v>
      </c>
      <c r="Y34" s="92">
        <f t="shared" si="19"/>
        <v>426.1710000000003</v>
      </c>
      <c r="Z34" s="92">
        <f t="shared" si="19"/>
        <v>883</v>
      </c>
      <c r="AA34" s="92">
        <f t="shared" si="19"/>
        <v>1308</v>
      </c>
      <c r="AB34" s="92">
        <f t="shared" si="19"/>
        <v>1787.6000000000004</v>
      </c>
      <c r="AC34" s="86">
        <f t="shared" si="19"/>
        <v>1718.1000000000004</v>
      </c>
      <c r="AD34" s="86">
        <f t="shared" si="19"/>
        <v>1900.1000000000004</v>
      </c>
      <c r="AE34" s="86">
        <f t="shared" si="19"/>
        <v>1588.1000000000004</v>
      </c>
      <c r="AF34" s="86">
        <f t="shared" si="19"/>
        <v>1086</v>
      </c>
      <c r="AG34" s="86">
        <f t="shared" si="19"/>
        <v>958</v>
      </c>
      <c r="AH34" s="86">
        <f t="shared" si="19"/>
        <v>2114</v>
      </c>
      <c r="AI34" s="86">
        <f t="shared" si="19"/>
        <v>1968</v>
      </c>
      <c r="AJ34" s="86">
        <f t="shared" si="19"/>
        <v>1304</v>
      </c>
      <c r="AK34" s="86">
        <f t="shared" si="19"/>
        <v>1685</v>
      </c>
      <c r="AL34" s="86">
        <f t="shared" si="19"/>
        <v>1673</v>
      </c>
      <c r="AM34" s="86">
        <v>1708</v>
      </c>
      <c r="AN34" s="103">
        <f>AN15-AN31</f>
        <v>1128</v>
      </c>
      <c r="AO34" s="103">
        <f>AO15-AO31</f>
        <v>989</v>
      </c>
      <c r="AP34" s="103">
        <f>AP15-AP31</f>
        <v>820.8896000000004</v>
      </c>
      <c r="AQ34" s="103">
        <f>AQ15-AQ31</f>
        <v>1231.8966</v>
      </c>
      <c r="AR34" s="103">
        <v>1731</v>
      </c>
      <c r="AS34" s="103">
        <f>AS15-AS31</f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1919</v>
      </c>
      <c r="AX34" s="103">
        <v>1236</v>
      </c>
      <c r="AY34" s="254">
        <v>1500</v>
      </c>
      <c r="AZ34" s="146">
        <f>AZ15-AZ31</f>
        <v>-2744.0470000000005</v>
      </c>
      <c r="BA34" s="146">
        <f>BA15-BA31</f>
        <v>1658.1800000000003</v>
      </c>
      <c r="BC34"/>
      <c r="BD34"/>
      <c r="BE34"/>
      <c r="BF34"/>
      <c r="BG34"/>
      <c r="CD34" s="96" t="s">
        <v>144</v>
      </c>
      <c r="CF34" s="92">
        <v>666</v>
      </c>
      <c r="CH34" s="92">
        <v>5646</v>
      </c>
      <c r="CI34" s="92">
        <v>2</v>
      </c>
      <c r="CJ34" s="92">
        <v>6314</v>
      </c>
      <c r="CK34" s="92">
        <v>409</v>
      </c>
      <c r="CN34" s="92">
        <v>3982</v>
      </c>
      <c r="CO34" s="92">
        <v>4391</v>
      </c>
      <c r="CP34" s="92">
        <v>796</v>
      </c>
      <c r="CQ34" s="92">
        <v>5187</v>
      </c>
      <c r="CS34" s="92">
        <v>160</v>
      </c>
      <c r="CT34" s="92">
        <f t="shared" si="6"/>
        <v>967</v>
      </c>
      <c r="CU34" s="92">
        <v>1127</v>
      </c>
      <c r="CV34" s="97">
        <f t="shared" si="7"/>
        <v>0.21727395411605938</v>
      </c>
      <c r="CW34" s="98">
        <v>1.085</v>
      </c>
    </row>
    <row r="35" spans="2:101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262"/>
      <c r="AY35" s="147"/>
      <c r="AZ35" s="147"/>
      <c r="BA35" s="146"/>
      <c r="BC35"/>
      <c r="BD35"/>
      <c r="BE35"/>
      <c r="BF35"/>
      <c r="BG35"/>
      <c r="CD35" s="96" t="s">
        <v>146</v>
      </c>
      <c r="CF35" s="92">
        <v>1127</v>
      </c>
      <c r="CH35" s="92">
        <v>5580</v>
      </c>
      <c r="CI35" s="92">
        <v>1</v>
      </c>
      <c r="CJ35" s="92">
        <v>6708</v>
      </c>
      <c r="CK35" s="92">
        <v>450</v>
      </c>
      <c r="CN35" s="92">
        <v>4292</v>
      </c>
      <c r="CO35" s="92">
        <v>4742</v>
      </c>
      <c r="CP35" s="92">
        <v>1258</v>
      </c>
      <c r="CQ35" s="92">
        <v>6000</v>
      </c>
      <c r="CS35" s="92">
        <v>79</v>
      </c>
      <c r="CT35" s="92">
        <f t="shared" si="6"/>
        <v>629</v>
      </c>
      <c r="CU35" s="92">
        <v>708</v>
      </c>
      <c r="CV35" s="97">
        <f t="shared" si="7"/>
        <v>0.118</v>
      </c>
      <c r="CW35" s="98">
        <v>1.57</v>
      </c>
    </row>
    <row r="36" spans="2:101" ht="12.75">
      <c r="B36" s="193" t="s">
        <v>129</v>
      </c>
      <c r="C36" s="92">
        <f aca="true" t="shared" si="20" ref="C36:AB36">C34-SUM(C37:C39)</f>
        <v>473</v>
      </c>
      <c r="D36" s="92">
        <f t="shared" si="20"/>
        <v>358</v>
      </c>
      <c r="E36" s="92">
        <f t="shared" si="20"/>
        <v>602</v>
      </c>
      <c r="F36" s="92">
        <f t="shared" si="20"/>
        <v>992</v>
      </c>
      <c r="G36" s="92">
        <f t="shared" si="20"/>
        <v>740</v>
      </c>
      <c r="H36" s="92">
        <f t="shared" si="20"/>
        <v>866</v>
      </c>
      <c r="I36" s="92">
        <f t="shared" si="20"/>
        <v>988</v>
      </c>
      <c r="J36" s="92">
        <f t="shared" si="20"/>
        <v>801</v>
      </c>
      <c r="K36" s="92">
        <f t="shared" si="20"/>
        <v>539</v>
      </c>
      <c r="L36" s="92">
        <f t="shared" si="20"/>
        <v>362</v>
      </c>
      <c r="M36" s="92">
        <f t="shared" si="20"/>
        <v>313</v>
      </c>
      <c r="N36" s="92">
        <f t="shared" si="20"/>
        <v>377</v>
      </c>
      <c r="O36" s="92">
        <f t="shared" si="20"/>
        <v>193</v>
      </c>
      <c r="P36" s="92">
        <f t="shared" si="20"/>
        <v>-160.2360000000008</v>
      </c>
      <c r="Q36" s="92">
        <f t="shared" si="20"/>
        <v>1369.2999999999993</v>
      </c>
      <c r="R36" s="92">
        <f t="shared" si="20"/>
        <v>507.6810000000005</v>
      </c>
      <c r="S36" s="92">
        <f t="shared" si="20"/>
        <v>618.9530000000013</v>
      </c>
      <c r="T36" s="92">
        <f t="shared" si="20"/>
        <v>937.0280000000002</v>
      </c>
      <c r="U36" s="92">
        <f t="shared" si="20"/>
        <v>790.7649999999994</v>
      </c>
      <c r="V36" s="92">
        <f t="shared" si="20"/>
        <v>1346.6980000000003</v>
      </c>
      <c r="W36" s="92">
        <f t="shared" si="20"/>
        <v>609.4700000000012</v>
      </c>
      <c r="X36" s="92">
        <f t="shared" si="20"/>
        <v>1090.295</v>
      </c>
      <c r="Y36" s="92">
        <f t="shared" si="20"/>
        <v>363.1710000000003</v>
      </c>
      <c r="Z36" s="92">
        <f t="shared" si="20"/>
        <v>702</v>
      </c>
      <c r="AA36" s="92">
        <f t="shared" si="20"/>
        <v>994</v>
      </c>
      <c r="AB36" s="92">
        <f t="shared" si="20"/>
        <v>1384.6000000000004</v>
      </c>
      <c r="AC36" s="86">
        <f aca="true" t="shared" si="21" ref="AC36:AH36">AC34-SUM(AC37:AC39)</f>
        <v>1312.1000000000004</v>
      </c>
      <c r="AD36" s="86">
        <f t="shared" si="21"/>
        <v>1639.1000000000004</v>
      </c>
      <c r="AE36" s="86">
        <f t="shared" si="21"/>
        <v>1369.1000000000004</v>
      </c>
      <c r="AF36" s="86">
        <f t="shared" si="21"/>
        <v>805</v>
      </c>
      <c r="AG36" s="86">
        <f t="shared" si="21"/>
        <v>794</v>
      </c>
      <c r="AH36" s="86">
        <f t="shared" si="21"/>
        <v>1833</v>
      </c>
      <c r="AI36" s="86">
        <f aca="true" t="shared" si="22" ref="AI36:AO36">AI34</f>
        <v>1968</v>
      </c>
      <c r="AJ36" s="86">
        <f t="shared" si="22"/>
        <v>1304</v>
      </c>
      <c r="AK36" s="87">
        <f t="shared" si="22"/>
        <v>1685</v>
      </c>
      <c r="AL36" s="93">
        <f t="shared" si="22"/>
        <v>1673</v>
      </c>
      <c r="AM36" s="103">
        <f>AM34</f>
        <v>1708</v>
      </c>
      <c r="AN36" s="103">
        <f t="shared" si="22"/>
        <v>1128</v>
      </c>
      <c r="AO36" s="103">
        <f t="shared" si="22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103"/>
      <c r="AY36" s="254"/>
      <c r="AZ36" s="146"/>
      <c r="BA36" s="146"/>
      <c r="BC36"/>
      <c r="BD36"/>
      <c r="BE36"/>
      <c r="BF36"/>
      <c r="BG36"/>
      <c r="CD36" s="96" t="s">
        <v>148</v>
      </c>
      <c r="CF36" s="92">
        <v>708</v>
      </c>
      <c r="CH36" s="92">
        <v>5671</v>
      </c>
      <c r="CI36" s="92">
        <v>1</v>
      </c>
      <c r="CJ36" s="92">
        <v>6380</v>
      </c>
      <c r="CK36" s="92">
        <v>472</v>
      </c>
      <c r="CN36" s="92">
        <v>4181</v>
      </c>
      <c r="CO36" s="92">
        <v>4653</v>
      </c>
      <c r="CP36" s="92">
        <v>1243</v>
      </c>
      <c r="CQ36" s="92">
        <v>5896</v>
      </c>
      <c r="CS36" s="92">
        <v>7</v>
      </c>
      <c r="CT36" s="92">
        <f t="shared" si="6"/>
        <v>477</v>
      </c>
      <c r="CU36" s="92">
        <v>484</v>
      </c>
      <c r="CV36" s="97">
        <f t="shared" si="7"/>
        <v>0.08208955223880597</v>
      </c>
      <c r="CW36" s="98">
        <v>2.55</v>
      </c>
    </row>
    <row r="37" spans="2:101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28"/>
      <c r="AZ37" s="147"/>
      <c r="BA37" s="146"/>
      <c r="BC37"/>
      <c r="BD37"/>
      <c r="BE37"/>
      <c r="BF37"/>
      <c r="BG37"/>
      <c r="CD37" s="96" t="s">
        <v>149</v>
      </c>
      <c r="CF37" s="92">
        <v>484</v>
      </c>
      <c r="CH37" s="92">
        <v>4701</v>
      </c>
      <c r="CI37" s="92">
        <v>2</v>
      </c>
      <c r="CJ37" s="92">
        <v>5187</v>
      </c>
      <c r="CK37" s="92">
        <v>497</v>
      </c>
      <c r="CN37" s="92">
        <v>3180</v>
      </c>
      <c r="CO37" s="92">
        <v>3677</v>
      </c>
      <c r="CP37" s="92">
        <v>1149</v>
      </c>
      <c r="CQ37" s="92">
        <v>4826</v>
      </c>
      <c r="CS37" s="92">
        <v>0</v>
      </c>
      <c r="CT37" s="92">
        <f t="shared" si="6"/>
        <v>361</v>
      </c>
      <c r="CU37" s="92">
        <v>361</v>
      </c>
      <c r="CV37" s="97">
        <f t="shared" si="7"/>
        <v>0.07480314960629922</v>
      </c>
      <c r="CW37" s="98">
        <v>3.02</v>
      </c>
    </row>
    <row r="38" spans="2:101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28"/>
      <c r="AZ38" s="147"/>
      <c r="BA38" s="146"/>
      <c r="BC38"/>
      <c r="BD38"/>
      <c r="BE38"/>
      <c r="BF38"/>
      <c r="BG38"/>
      <c r="CD38" s="96" t="s">
        <v>150</v>
      </c>
      <c r="CF38" s="92">
        <v>558</v>
      </c>
      <c r="CH38" s="92">
        <v>5840.757</v>
      </c>
      <c r="CI38" s="92">
        <v>1.5</v>
      </c>
      <c r="CJ38" s="92">
        <v>6400.257</v>
      </c>
      <c r="CK38" s="92">
        <v>500.7</v>
      </c>
      <c r="CM38" s="92">
        <v>20.1</v>
      </c>
      <c r="CN38" s="92">
        <v>3581.857</v>
      </c>
      <c r="CO38" s="92">
        <v>4102.657</v>
      </c>
      <c r="CP38" s="92">
        <v>1664.4</v>
      </c>
      <c r="CQ38" s="92">
        <v>5767.057</v>
      </c>
      <c r="CS38" s="92">
        <v>0.2</v>
      </c>
      <c r="CT38" s="92">
        <v>633</v>
      </c>
      <c r="CU38" s="92">
        <v>633.2</v>
      </c>
      <c r="CV38" s="97">
        <f t="shared" si="7"/>
        <v>0.1097960363492159</v>
      </c>
      <c r="CW38" s="98">
        <v>2.54</v>
      </c>
    </row>
    <row r="39" spans="2:101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15"/>
      <c r="AY39" s="228"/>
      <c r="AZ39" s="147"/>
      <c r="BA39" s="146"/>
      <c r="BC39"/>
      <c r="BD39"/>
      <c r="BE39"/>
      <c r="BF39"/>
      <c r="BG39"/>
      <c r="CD39" s="96" t="s">
        <v>152</v>
      </c>
      <c r="CF39" s="92">
        <v>633.2</v>
      </c>
      <c r="CH39" s="92">
        <v>6289.169</v>
      </c>
      <c r="CI39" s="92">
        <v>2.430844</v>
      </c>
      <c r="CJ39" s="92">
        <v>6924.799844</v>
      </c>
      <c r="CK39" s="92">
        <v>522.1</v>
      </c>
      <c r="CM39" s="92">
        <v>20.1</v>
      </c>
      <c r="CN39" s="92">
        <v>3601.880515</v>
      </c>
      <c r="CO39" s="92">
        <v>4144.080515</v>
      </c>
      <c r="CP39" s="92">
        <v>1645.119329</v>
      </c>
      <c r="CQ39" s="92">
        <v>5789.199844</v>
      </c>
      <c r="CS39" s="92">
        <v>0.2</v>
      </c>
      <c r="CT39" s="92">
        <v>1135.4</v>
      </c>
      <c r="CU39" s="92">
        <v>1135.6</v>
      </c>
      <c r="CV39" s="97">
        <f t="shared" si="7"/>
        <v>0.19615836913575374</v>
      </c>
      <c r="CW39" s="98">
        <v>2.15</v>
      </c>
    </row>
    <row r="40" spans="2:101" ht="12.75">
      <c r="B40" s="195"/>
      <c r="AB40" s="105"/>
      <c r="AL40" s="106"/>
      <c r="AZ40" s="107"/>
      <c r="BC40"/>
      <c r="BD40"/>
      <c r="BE40"/>
      <c r="BF40"/>
      <c r="BG40"/>
      <c r="CD40" s="96" t="s">
        <v>154</v>
      </c>
      <c r="CF40" s="92">
        <v>1135.6</v>
      </c>
      <c r="CH40" s="92">
        <v>6505.041</v>
      </c>
      <c r="CI40" s="92">
        <v>2.397884</v>
      </c>
      <c r="CJ40" s="92">
        <v>7643.038884</v>
      </c>
      <c r="CK40" s="92">
        <v>561.5</v>
      </c>
      <c r="CM40" s="92">
        <v>19.5</v>
      </c>
      <c r="CN40" s="92">
        <v>3729.742273</v>
      </c>
      <c r="CO40" s="92">
        <v>4310.742273</v>
      </c>
      <c r="CP40" s="92">
        <v>1896.396611</v>
      </c>
      <c r="CQ40" s="92">
        <v>6207.138884</v>
      </c>
      <c r="CS40" s="92">
        <v>3.5</v>
      </c>
      <c r="CT40" s="92">
        <v>1432.4</v>
      </c>
      <c r="CU40" s="92">
        <v>1435.9</v>
      </c>
      <c r="CV40" s="97">
        <f t="shared" si="7"/>
        <v>0.23133041274479724</v>
      </c>
      <c r="CW40" s="98">
        <v>2.02</v>
      </c>
    </row>
    <row r="41" spans="2:101" ht="12.75">
      <c r="B41" s="108" t="s">
        <v>138</v>
      </c>
      <c r="C41" s="109">
        <f aca="true" t="shared" si="23" ref="C41:BA41">C34/C31</f>
        <v>0.08208955223880597</v>
      </c>
      <c r="D41" s="109">
        <f t="shared" si="23"/>
        <v>0.07480314960629922</v>
      </c>
      <c r="E41" s="109">
        <f t="shared" si="23"/>
        <v>0.10993584185885209</v>
      </c>
      <c r="F41" s="109">
        <f t="shared" si="23"/>
        <v>0.19606149594057695</v>
      </c>
      <c r="G41" s="109">
        <f t="shared" si="23"/>
        <v>0.231351699693894</v>
      </c>
      <c r="H41" s="109">
        <f t="shared" si="23"/>
        <v>0.2444603288062902</v>
      </c>
      <c r="I41" s="109">
        <f t="shared" si="23"/>
        <v>0.26745562130177514</v>
      </c>
      <c r="J41" s="109">
        <f t="shared" si="23"/>
        <v>0.19129360065915957</v>
      </c>
      <c r="K41" s="109">
        <f t="shared" si="23"/>
        <v>0.36372759856630826</v>
      </c>
      <c r="L41" s="109">
        <f t="shared" si="23"/>
        <v>0.48613601876120843</v>
      </c>
      <c r="M41" s="109">
        <f t="shared" si="23"/>
        <v>0.15047818290496115</v>
      </c>
      <c r="N41" s="109">
        <f t="shared" si="23"/>
        <v>0.23435722411831628</v>
      </c>
      <c r="O41" s="109">
        <f t="shared" si="23"/>
        <v>0.6219587311364336</v>
      </c>
      <c r="P41" s="109">
        <f t="shared" si="23"/>
        <v>0.6611731888964115</v>
      </c>
      <c r="Q41" s="109">
        <f t="shared" si="23"/>
        <v>0.5490911434833053</v>
      </c>
      <c r="R41" s="109">
        <f t="shared" si="23"/>
        <v>0.2659340220385676</v>
      </c>
      <c r="S41" s="109">
        <f t="shared" si="23"/>
        <v>0.1665170713669421</v>
      </c>
      <c r="T41" s="109">
        <f t="shared" si="23"/>
        <v>0.1958546579049092</v>
      </c>
      <c r="U41" s="109">
        <f t="shared" si="23"/>
        <v>0.1389293835270338</v>
      </c>
      <c r="V41" s="109">
        <f t="shared" si="23"/>
        <v>0.24881392330383484</v>
      </c>
      <c r="W41" s="109">
        <f t="shared" si="23"/>
        <v>0.1116102362204726</v>
      </c>
      <c r="X41" s="109">
        <f t="shared" si="23"/>
        <v>0.16570555082943428</v>
      </c>
      <c r="Y41" s="109">
        <f t="shared" si="23"/>
        <v>0.050008331377610925</v>
      </c>
      <c r="Z41" s="109">
        <f t="shared" si="23"/>
        <v>0.1004664922061668</v>
      </c>
      <c r="AA41" s="109">
        <f t="shared" si="23"/>
        <v>0.14878853372767603</v>
      </c>
      <c r="AB41" s="109">
        <f t="shared" si="23"/>
        <v>0.19225639922563997</v>
      </c>
      <c r="AC41" s="109">
        <f t="shared" si="23"/>
        <v>0.1805675249605886</v>
      </c>
      <c r="AD41" s="109">
        <f t="shared" si="23"/>
        <v>0.195082135523614</v>
      </c>
      <c r="AE41" s="109">
        <f t="shared" si="23"/>
        <v>0.16157289653067458</v>
      </c>
      <c r="AF41" s="109">
        <f t="shared" si="23"/>
        <v>0.11442419133916341</v>
      </c>
      <c r="AG41" s="109">
        <f t="shared" si="23"/>
        <v>0.0936278342455043</v>
      </c>
      <c r="AH41" s="109">
        <f t="shared" si="23"/>
        <v>0.19827424498217971</v>
      </c>
      <c r="AI41" s="109">
        <f t="shared" si="23"/>
        <v>0.1746383884994232</v>
      </c>
      <c r="AJ41" s="109">
        <f t="shared" si="23"/>
        <v>0.11632471008028546</v>
      </c>
      <c r="AK41" s="109">
        <f t="shared" si="23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3"/>
        <v>0.08640367675220222</v>
      </c>
      <c r="AO41" s="189">
        <f t="shared" si="23"/>
        <v>0.07894316730523628</v>
      </c>
      <c r="AP41" s="189">
        <f aca="true" t="shared" si="24" ref="AP41:AZ41">AP34/AP31</f>
        <v>0.07406745466029058</v>
      </c>
      <c r="AQ41" s="189">
        <f t="shared" si="24"/>
        <v>0.09156359447004608</v>
      </c>
      <c r="AR41" s="189">
        <f t="shared" si="24"/>
        <v>0.12590922315973233</v>
      </c>
      <c r="AS41" s="189">
        <f t="shared" si="24"/>
        <v>0.12712236533957846</v>
      </c>
      <c r="AT41" s="189">
        <f t="shared" si="24"/>
        <v>0.15654813297836032</v>
      </c>
      <c r="AU41" s="189">
        <f t="shared" si="24"/>
        <v>0.1446141370455467</v>
      </c>
      <c r="AV41" s="189">
        <f t="shared" si="24"/>
        <v>0.1554451287793953</v>
      </c>
      <c r="AW41" s="189">
        <f t="shared" si="24"/>
        <v>0.13743464871445965</v>
      </c>
      <c r="AX41" s="189">
        <f t="shared" si="24"/>
        <v>0.08340643768135501</v>
      </c>
      <c r="AY41" s="189">
        <f t="shared" si="24"/>
        <v>0.10148849797023005</v>
      </c>
      <c r="AZ41" s="109">
        <f t="shared" si="24"/>
        <v>-0.18517086173156086</v>
      </c>
      <c r="BA41" s="109">
        <f t="shared" si="23"/>
        <v>0.11189553951008842</v>
      </c>
      <c r="BC41"/>
      <c r="BD41"/>
      <c r="BE41"/>
      <c r="BF41"/>
      <c r="BG41"/>
      <c r="CD41" s="96" t="s">
        <v>155</v>
      </c>
      <c r="CF41" s="92">
        <v>1435.9</v>
      </c>
      <c r="CH41" s="92">
        <v>7267.927</v>
      </c>
      <c r="CI41" s="92">
        <v>1.152533</v>
      </c>
      <c r="CJ41" s="92">
        <v>8704.979533</v>
      </c>
      <c r="CK41" s="92">
        <v>588.5</v>
      </c>
      <c r="CM41" s="92">
        <v>19.5</v>
      </c>
      <c r="CN41" s="92">
        <v>4274.351663</v>
      </c>
      <c r="CO41" s="92">
        <v>4882.351663</v>
      </c>
      <c r="CP41" s="92">
        <v>2113.12787</v>
      </c>
      <c r="CQ41" s="92">
        <v>6995.479533</v>
      </c>
      <c r="CS41" s="92">
        <v>100.5</v>
      </c>
      <c r="CT41" s="92">
        <v>1609</v>
      </c>
      <c r="CU41" s="92">
        <v>1709.5</v>
      </c>
      <c r="CV41" s="97">
        <f t="shared" si="7"/>
        <v>0.24437209657118156</v>
      </c>
      <c r="CW41" s="98">
        <v>2.25</v>
      </c>
    </row>
    <row r="42" spans="2:101" ht="12.75">
      <c r="B42" s="78"/>
      <c r="AB42" s="110"/>
      <c r="AH42" s="99"/>
      <c r="AI42" s="99"/>
      <c r="AJ42" s="99"/>
      <c r="AK42" s="99"/>
      <c r="AL42" s="99"/>
      <c r="BC42"/>
      <c r="BD42"/>
      <c r="BE42"/>
      <c r="BF42"/>
      <c r="BG42"/>
      <c r="CD42" s="96" t="s">
        <v>156</v>
      </c>
      <c r="CF42" s="92">
        <v>1709.5</v>
      </c>
      <c r="CH42" s="92">
        <v>7928.139</v>
      </c>
      <c r="CI42" s="92">
        <v>0.720731</v>
      </c>
      <c r="CJ42" s="92">
        <v>9638.359731</v>
      </c>
      <c r="CK42" s="92">
        <v>619.5</v>
      </c>
      <c r="CM42" s="92">
        <v>20</v>
      </c>
      <c r="CN42" s="92">
        <v>4563.043434</v>
      </c>
      <c r="CO42" s="92">
        <v>5202.543434</v>
      </c>
      <c r="CP42" s="92">
        <v>2401.516297</v>
      </c>
      <c r="CQ42" s="92">
        <v>7604.059731</v>
      </c>
      <c r="CS42" s="92">
        <v>260.1</v>
      </c>
      <c r="CT42" s="92">
        <v>1774.2</v>
      </c>
      <c r="CU42" s="92">
        <v>2034.3</v>
      </c>
      <c r="CV42" s="97">
        <f t="shared" si="7"/>
        <v>0.2675281457491223</v>
      </c>
      <c r="CW42" s="98">
        <v>2.48</v>
      </c>
    </row>
    <row r="43" spans="2:101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4.53</v>
      </c>
      <c r="AY43" s="217">
        <v>5.45</v>
      </c>
      <c r="AZ43" s="112"/>
      <c r="BA43" s="112"/>
      <c r="BC43"/>
      <c r="BD43"/>
      <c r="BE43"/>
      <c r="BF43"/>
      <c r="BG43"/>
      <c r="CD43" s="96" t="s">
        <v>157</v>
      </c>
      <c r="CF43" s="92">
        <v>2034.3</v>
      </c>
      <c r="CH43" s="92">
        <v>6639.396</v>
      </c>
      <c r="CI43" s="92">
        <v>0.84827</v>
      </c>
      <c r="CJ43" s="92">
        <v>8674.54427</v>
      </c>
      <c r="CK43" s="114">
        <v>639</v>
      </c>
      <c r="CM43" s="92">
        <v>20.2</v>
      </c>
      <c r="CN43" s="92">
        <v>4232.13854</v>
      </c>
      <c r="CO43" s="92">
        <v>4891.33854</v>
      </c>
      <c r="CP43" s="92">
        <v>2391.10573</v>
      </c>
      <c r="CQ43" s="92">
        <v>7282.44427</v>
      </c>
      <c r="CS43" s="92">
        <v>241.8</v>
      </c>
      <c r="CT43" s="92">
        <v>1150.3</v>
      </c>
      <c r="CU43" s="92">
        <v>1392.1</v>
      </c>
      <c r="CV43" s="97">
        <f t="shared" si="7"/>
        <v>0.19115834579534652</v>
      </c>
      <c r="CW43" s="98">
        <v>3.12</v>
      </c>
    </row>
    <row r="44" spans="2:101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C44"/>
      <c r="BD44"/>
      <c r="BE44"/>
      <c r="BF44"/>
      <c r="BG44"/>
      <c r="CD44" s="96" t="s">
        <v>158</v>
      </c>
      <c r="CF44" s="92">
        <v>1392.1</v>
      </c>
      <c r="CH44" s="92">
        <v>8118.65</v>
      </c>
      <c r="CI44" s="92">
        <v>0.556675</v>
      </c>
      <c r="CJ44" s="92">
        <v>9511.306675</v>
      </c>
      <c r="CK44" s="114">
        <v>714</v>
      </c>
      <c r="CM44" s="92">
        <v>19.4</v>
      </c>
      <c r="CN44" s="92">
        <v>4244.544543</v>
      </c>
      <c r="CO44" s="92">
        <v>4977.944543</v>
      </c>
      <c r="CP44" s="92">
        <v>1996.762132</v>
      </c>
      <c r="CQ44" s="92">
        <v>6974.706675</v>
      </c>
      <c r="CS44" s="92">
        <v>280.1</v>
      </c>
      <c r="CT44" s="92">
        <v>2256.5</v>
      </c>
      <c r="CU44" s="92">
        <v>2536.6</v>
      </c>
      <c r="CV44" s="97">
        <f t="shared" si="7"/>
        <v>0.3636855452419438</v>
      </c>
      <c r="CW44" s="98">
        <v>2.47</v>
      </c>
    </row>
    <row r="45" spans="2:101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C45"/>
      <c r="BD45"/>
      <c r="BE45"/>
      <c r="BF45"/>
      <c r="BG45"/>
      <c r="CD45" s="96" t="s">
        <v>159</v>
      </c>
      <c r="CF45" s="92">
        <v>2536.6</v>
      </c>
      <c r="CH45" s="92">
        <v>8235.101</v>
      </c>
      <c r="CI45" s="92">
        <v>0.488849</v>
      </c>
      <c r="CJ45" s="92">
        <v>10772.189849</v>
      </c>
      <c r="CK45" s="92">
        <v>840</v>
      </c>
      <c r="CM45" s="92">
        <v>14.5</v>
      </c>
      <c r="CN45" s="92">
        <v>4573.2446826</v>
      </c>
      <c r="CO45" s="92">
        <v>5427.7446826</v>
      </c>
      <c r="CP45" s="92">
        <v>1821.3451664</v>
      </c>
      <c r="CQ45" s="92">
        <v>7249.089849</v>
      </c>
      <c r="CS45" s="92">
        <v>1142.7</v>
      </c>
      <c r="CT45" s="92">
        <v>2380.4</v>
      </c>
      <c r="CU45" s="92">
        <v>3523.1</v>
      </c>
      <c r="CV45" s="97">
        <f t="shared" si="7"/>
        <v>0.48600583982084394</v>
      </c>
      <c r="CW45" s="98">
        <v>2.55</v>
      </c>
    </row>
    <row r="46" spans="2:101" ht="12.75">
      <c r="B46" s="193" t="s">
        <v>147</v>
      </c>
      <c r="C46" s="97">
        <f aca="true" t="shared" si="25" ref="C46:Z46">C43/C45</f>
        <v>2.4285714285714284</v>
      </c>
      <c r="D46" s="97">
        <f t="shared" si="25"/>
        <v>2.745454545454545</v>
      </c>
      <c r="E46" s="97">
        <f t="shared" si="25"/>
        <v>2.309090909090909</v>
      </c>
      <c r="F46" s="97">
        <f t="shared" si="25"/>
        <v>1.4333333333333333</v>
      </c>
      <c r="G46" s="97">
        <f t="shared" si="25"/>
        <v>1.025</v>
      </c>
      <c r="H46" s="97">
        <f t="shared" si="25"/>
        <v>1.125</v>
      </c>
      <c r="I46" s="97">
        <f t="shared" si="25"/>
        <v>1.180952380952381</v>
      </c>
      <c r="J46" s="97">
        <f t="shared" si="25"/>
        <v>1.3866666666666667</v>
      </c>
      <c r="K46" s="97">
        <f t="shared" si="25"/>
        <v>1.0291666666666668</v>
      </c>
      <c r="L46" s="97">
        <f t="shared" si="25"/>
        <v>1</v>
      </c>
      <c r="M46" s="97">
        <f t="shared" si="25"/>
        <v>1.211320754716981</v>
      </c>
      <c r="N46" s="97">
        <f t="shared" si="25"/>
        <v>1.031372549019608</v>
      </c>
      <c r="O46" s="97">
        <f t="shared" si="25"/>
        <v>0.8745098039215686</v>
      </c>
      <c r="P46" s="97">
        <f t="shared" si="25"/>
        <v>0.78125</v>
      </c>
      <c r="Q46" s="97">
        <f t="shared" si="25"/>
        <v>1.065934065934066</v>
      </c>
      <c r="R46" s="97">
        <f t="shared" si="25"/>
        <v>1.4350282485875707</v>
      </c>
      <c r="S46" s="97">
        <f t="shared" si="25"/>
        <v>1.4303030303030304</v>
      </c>
      <c r="T46" s="97">
        <f t="shared" si="25"/>
        <v>1.4522292993630572</v>
      </c>
      <c r="U46" s="97">
        <f t="shared" si="25"/>
        <v>1.462962962962963</v>
      </c>
      <c r="V46" s="97">
        <f t="shared" si="25"/>
        <v>1.2034883720930232</v>
      </c>
      <c r="W46" s="97">
        <f t="shared" si="25"/>
        <v>1.4534883720930232</v>
      </c>
      <c r="X46" s="97">
        <f t="shared" si="25"/>
        <v>1.1957671957671958</v>
      </c>
      <c r="Y46" s="97">
        <f t="shared" si="25"/>
        <v>1.7142857142857144</v>
      </c>
      <c r="Z46" s="97">
        <f t="shared" si="25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C46"/>
      <c r="BD46"/>
      <c r="BE46"/>
      <c r="BF46"/>
      <c r="BG46"/>
      <c r="CD46" s="96" t="s">
        <v>162</v>
      </c>
      <c r="CF46" s="92">
        <v>3523.1</v>
      </c>
      <c r="CH46" s="92">
        <v>4174.251</v>
      </c>
      <c r="CI46" s="92">
        <v>1.706811</v>
      </c>
      <c r="CJ46" s="92">
        <v>7699.057811</v>
      </c>
      <c r="CK46" s="92">
        <v>911</v>
      </c>
      <c r="CM46" s="92">
        <v>19.1</v>
      </c>
      <c r="CN46" s="92">
        <v>3876.2604351</v>
      </c>
      <c r="CO46" s="92">
        <v>4806.3604351</v>
      </c>
      <c r="CP46" s="92">
        <v>1886.3973759</v>
      </c>
      <c r="CQ46" s="92">
        <v>6692.757811</v>
      </c>
      <c r="CS46" s="92">
        <v>201.5</v>
      </c>
      <c r="CT46" s="92">
        <v>804.8</v>
      </c>
      <c r="CU46" s="92">
        <v>1006.3</v>
      </c>
      <c r="CV46" s="97">
        <f t="shared" si="7"/>
        <v>0.15035655381793106</v>
      </c>
      <c r="CW46" s="98">
        <v>3.21</v>
      </c>
    </row>
    <row r="47" spans="2:101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AY47"/>
      <c r="BC47"/>
      <c r="BD47"/>
      <c r="BE47"/>
      <c r="BF47"/>
      <c r="BG47"/>
      <c r="CD47" s="96" t="s">
        <v>167</v>
      </c>
      <c r="CF47" s="92">
        <v>1006.3</v>
      </c>
      <c r="CH47" s="92">
        <v>7672.13</v>
      </c>
      <c r="CI47" s="92">
        <v>1.732999</v>
      </c>
      <c r="CJ47" s="92">
        <v>8680.162999</v>
      </c>
      <c r="CK47" s="92">
        <v>1045.999</v>
      </c>
      <c r="CM47" s="92">
        <v>21.2</v>
      </c>
      <c r="CN47" s="92">
        <v>4114.513389</v>
      </c>
      <c r="CO47" s="92">
        <v>5181.712389</v>
      </c>
      <c r="CP47" s="92">
        <v>1850.25061</v>
      </c>
      <c r="CQ47" s="92">
        <v>7031.962999</v>
      </c>
      <c r="CS47" s="92">
        <v>224.9</v>
      </c>
      <c r="CT47" s="92">
        <v>1423.3</v>
      </c>
      <c r="CU47" s="92">
        <v>1648.2</v>
      </c>
      <c r="CV47" s="97">
        <f t="shared" si="7"/>
        <v>0.2343868988267411</v>
      </c>
      <c r="CW47" s="98">
        <v>2.63</v>
      </c>
    </row>
    <row r="48" spans="2:101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AY48"/>
      <c r="CD48" s="96" t="s">
        <v>171</v>
      </c>
      <c r="CF48" s="92">
        <v>1648.2</v>
      </c>
      <c r="CH48" s="92">
        <v>8875.453</v>
      </c>
      <c r="CI48" s="92">
        <v>9.89816</v>
      </c>
      <c r="CJ48" s="92">
        <v>10533.55116</v>
      </c>
      <c r="CK48" s="92">
        <v>1133</v>
      </c>
      <c r="CM48" s="92">
        <v>19.5</v>
      </c>
      <c r="CN48" s="92">
        <v>4114.249281</v>
      </c>
      <c r="CO48" s="92">
        <v>5266.749281</v>
      </c>
      <c r="CP48" s="92">
        <v>1227.301879</v>
      </c>
      <c r="CQ48" s="92">
        <v>6494.05116</v>
      </c>
      <c r="CS48" s="92">
        <v>545.7</v>
      </c>
      <c r="CT48" s="92">
        <v>3493.8</v>
      </c>
      <c r="CU48" s="92">
        <v>4039.5</v>
      </c>
      <c r="CV48" s="97">
        <f t="shared" si="7"/>
        <v>0.6220308249003693</v>
      </c>
      <c r="CW48" s="98">
        <v>2.23</v>
      </c>
    </row>
    <row r="49" spans="2:101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AY49"/>
      <c r="CD49" s="96" t="s">
        <v>172</v>
      </c>
      <c r="CF49" s="92">
        <v>4039.5</v>
      </c>
      <c r="CH49" s="92">
        <v>8225.764</v>
      </c>
      <c r="CI49" s="92">
        <v>1.756732</v>
      </c>
      <c r="CJ49" s="92">
        <v>12267.020732</v>
      </c>
      <c r="CK49" s="92">
        <v>1206.8</v>
      </c>
      <c r="CM49" s="92">
        <v>16.7</v>
      </c>
      <c r="CN49" s="92">
        <v>4669.350125</v>
      </c>
      <c r="CO49" s="92">
        <v>5892.850125</v>
      </c>
      <c r="CP49" s="92">
        <v>1492.470607</v>
      </c>
      <c r="CQ49" s="92">
        <v>7385.320732</v>
      </c>
      <c r="CS49" s="92">
        <v>1443.2</v>
      </c>
      <c r="CT49" s="92">
        <v>3438.5</v>
      </c>
      <c r="CU49" s="92">
        <v>4881.7</v>
      </c>
      <c r="CV49" s="97">
        <f t="shared" si="7"/>
        <v>0.6610004056896251</v>
      </c>
      <c r="CW49" s="98">
        <v>1.5</v>
      </c>
    </row>
    <row r="50" spans="2:101" ht="12.75">
      <c r="B50" s="77" t="s">
        <v>153</v>
      </c>
      <c r="CD50" s="96" t="s">
        <v>174</v>
      </c>
      <c r="CF50" s="92">
        <v>4881.7</v>
      </c>
      <c r="CH50" s="92">
        <v>7131.3</v>
      </c>
      <c r="CI50" s="92">
        <v>3.410742</v>
      </c>
      <c r="CJ50" s="92">
        <v>12016.410742</v>
      </c>
      <c r="CK50" s="92">
        <v>1226</v>
      </c>
      <c r="CM50" s="92">
        <v>17.2</v>
      </c>
      <c r="CN50" s="92">
        <v>4797.685619</v>
      </c>
      <c r="CO50" s="92">
        <v>6040.885619</v>
      </c>
      <c r="CP50" s="92">
        <v>1716.425123</v>
      </c>
      <c r="CQ50" s="92">
        <v>7757.310742</v>
      </c>
      <c r="CS50" s="92">
        <v>835</v>
      </c>
      <c r="CT50" s="92">
        <v>3424.1</v>
      </c>
      <c r="CU50" s="92">
        <v>4259.1</v>
      </c>
      <c r="CV50" s="97">
        <f t="shared" si="7"/>
        <v>0.5490433658845428</v>
      </c>
      <c r="CW50" s="98">
        <v>1.94</v>
      </c>
    </row>
    <row r="51" spans="2:101" ht="12.75">
      <c r="B51" s="76"/>
      <c r="CD51" s="96" t="s">
        <v>176</v>
      </c>
      <c r="CF51" s="92">
        <v>4259.086</v>
      </c>
      <c r="CH51" s="92">
        <v>4928.681</v>
      </c>
      <c r="CI51" s="92">
        <v>2.783115</v>
      </c>
      <c r="CJ51" s="92">
        <v>9190.550115</v>
      </c>
      <c r="CK51" s="92">
        <v>1275</v>
      </c>
      <c r="CM51" s="92">
        <v>18.4</v>
      </c>
      <c r="CN51" s="92">
        <v>3940.960205</v>
      </c>
      <c r="CO51" s="92">
        <v>5234.360205</v>
      </c>
      <c r="CP51" s="92">
        <v>2025.76191</v>
      </c>
      <c r="CQ51" s="92">
        <v>7260.122115</v>
      </c>
      <c r="CS51" s="92">
        <v>362.5</v>
      </c>
      <c r="CT51" s="92">
        <v>1567.928</v>
      </c>
      <c r="CU51" s="92">
        <v>1930.428</v>
      </c>
      <c r="CV51" s="97">
        <f t="shared" si="7"/>
        <v>0.26589470113892155</v>
      </c>
      <c r="CW51" s="98">
        <v>2.54</v>
      </c>
    </row>
    <row r="52" spans="2:101" ht="12.75">
      <c r="B52" s="76"/>
      <c r="CD52" s="96" t="s">
        <v>178</v>
      </c>
      <c r="CF52" s="92">
        <v>1930.428</v>
      </c>
      <c r="CH52" s="92">
        <v>7531.953</v>
      </c>
      <c r="CI52" s="92">
        <v>1.902007</v>
      </c>
      <c r="CJ52" s="92">
        <v>9464.283007</v>
      </c>
      <c r="CK52" s="92">
        <v>1337.001</v>
      </c>
      <c r="CM52" s="92">
        <v>18.9</v>
      </c>
      <c r="CN52" s="92">
        <v>4395.689949</v>
      </c>
      <c r="CO52" s="92">
        <v>5751.590949</v>
      </c>
      <c r="CP52" s="92">
        <v>2368.235058</v>
      </c>
      <c r="CQ52" s="92">
        <v>8119.826007</v>
      </c>
      <c r="CS52" s="92">
        <v>233</v>
      </c>
      <c r="CT52" s="92">
        <v>1111.457</v>
      </c>
      <c r="CU52" s="92">
        <v>1344.457</v>
      </c>
      <c r="CV52" s="97">
        <f t="shared" si="7"/>
        <v>0.16557707010482253</v>
      </c>
      <c r="CW52" s="98">
        <v>2.36</v>
      </c>
    </row>
    <row r="53" spans="2:101" ht="12.75">
      <c r="B53" s="76"/>
      <c r="CD53" s="96" t="s">
        <v>180</v>
      </c>
      <c r="CF53" s="92">
        <v>1344.457</v>
      </c>
      <c r="CH53" s="92">
        <v>7934.028</v>
      </c>
      <c r="CI53" s="92">
        <v>3.415564</v>
      </c>
      <c r="CJ53" s="92">
        <v>9281.900564</v>
      </c>
      <c r="CK53" s="92">
        <v>1353.74</v>
      </c>
      <c r="CM53" s="92">
        <v>19.3</v>
      </c>
      <c r="CN53" s="92">
        <v>4663.01627</v>
      </c>
      <c r="CO53" s="92">
        <v>6036.05627</v>
      </c>
      <c r="CP53" s="92">
        <v>1724.599294</v>
      </c>
      <c r="CQ53" s="92">
        <v>7760.655564</v>
      </c>
      <c r="CS53" s="92">
        <v>371.1</v>
      </c>
      <c r="CT53" s="92">
        <v>1150.145</v>
      </c>
      <c r="CU53" s="92">
        <v>1521.245</v>
      </c>
      <c r="CV53" s="97">
        <f t="shared" si="7"/>
        <v>0.1960201670406204</v>
      </c>
      <c r="CW53" s="98">
        <v>2.28</v>
      </c>
    </row>
    <row r="54" spans="2:101" ht="12.75">
      <c r="B54" s="76"/>
      <c r="U54" s="70" t="s">
        <v>160</v>
      </c>
      <c r="V54" s="70" t="s">
        <v>161</v>
      </c>
      <c r="CD54" s="96" t="s">
        <v>182</v>
      </c>
      <c r="CF54" s="92">
        <v>1521.245</v>
      </c>
      <c r="CH54" s="92">
        <v>7474.765</v>
      </c>
      <c r="CI54" s="92">
        <v>19.636724</v>
      </c>
      <c r="CJ54" s="92">
        <v>9015.646724</v>
      </c>
      <c r="CK54" s="92">
        <v>1433.8</v>
      </c>
      <c r="CM54" s="92">
        <v>20.2</v>
      </c>
      <c r="CN54" s="92">
        <v>4877.231137</v>
      </c>
      <c r="CO54" s="92">
        <v>6331.231137</v>
      </c>
      <c r="CP54" s="92">
        <v>1584.104587</v>
      </c>
      <c r="CQ54" s="92">
        <v>7915.335724</v>
      </c>
      <c r="CS54" s="92">
        <v>112.5</v>
      </c>
      <c r="CT54" s="92">
        <v>987.811</v>
      </c>
      <c r="CU54" s="92">
        <v>1100.311</v>
      </c>
      <c r="CV54" s="97">
        <f t="shared" si="7"/>
        <v>0.1390100228678563</v>
      </c>
      <c r="CW54" s="98">
        <v>2.37</v>
      </c>
    </row>
    <row r="55" spans="2:101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D55" s="96" t="s">
        <v>184</v>
      </c>
      <c r="CF55" s="92">
        <v>1100.311</v>
      </c>
      <c r="CH55" s="92">
        <v>9476.698</v>
      </c>
      <c r="CI55" s="92">
        <v>7.091029</v>
      </c>
      <c r="CJ55" s="92">
        <v>10584.100029</v>
      </c>
      <c r="CK55" s="92">
        <v>1492.7</v>
      </c>
      <c r="CM55" s="92">
        <v>18.7</v>
      </c>
      <c r="CN55" s="92">
        <v>5296.441062</v>
      </c>
      <c r="CO55" s="92">
        <v>6807.841062</v>
      </c>
      <c r="CP55" s="92">
        <v>1663.277967</v>
      </c>
      <c r="CQ55" s="92">
        <v>8471.119029</v>
      </c>
      <c r="CS55" s="92">
        <v>55.5</v>
      </c>
      <c r="CT55" s="92">
        <v>2057.481</v>
      </c>
      <c r="CU55" s="92">
        <v>2112.981</v>
      </c>
      <c r="CV55" s="97">
        <f t="shared" si="7"/>
        <v>0.24943351554457308</v>
      </c>
      <c r="CW55" s="98">
        <v>2.07</v>
      </c>
    </row>
    <row r="56" spans="2:101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D56" s="96" t="s">
        <v>185</v>
      </c>
      <c r="CF56" s="92">
        <v>2112.981</v>
      </c>
      <c r="CH56" s="92">
        <v>6336.47</v>
      </c>
      <c r="CI56" s="92">
        <v>20.81505</v>
      </c>
      <c r="CJ56" s="92">
        <v>8470.26605</v>
      </c>
      <c r="CK56" s="92">
        <v>1568.09048727648</v>
      </c>
      <c r="CM56" s="92">
        <v>20.1</v>
      </c>
      <c r="CN56" s="92">
        <v>4703.61069072352</v>
      </c>
      <c r="CO56" s="92">
        <v>6291.801178</v>
      </c>
      <c r="CP56" s="92">
        <v>1328.321872</v>
      </c>
      <c r="CQ56" s="92">
        <v>7620.12305</v>
      </c>
      <c r="CS56" s="92">
        <v>45</v>
      </c>
      <c r="CT56" s="92">
        <v>805.143</v>
      </c>
      <c r="CU56" s="92">
        <v>850.143</v>
      </c>
      <c r="CV56" s="97">
        <f t="shared" si="7"/>
        <v>0.11156552124181249</v>
      </c>
      <c r="CW56" s="98">
        <v>2.5</v>
      </c>
    </row>
    <row r="57" spans="2:101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D57" s="96" t="s">
        <v>187</v>
      </c>
      <c r="CF57" s="92">
        <v>850.143</v>
      </c>
      <c r="CH57" s="92">
        <v>10103.03</v>
      </c>
      <c r="CI57" s="92">
        <v>9.557024</v>
      </c>
      <c r="CJ57" s="92">
        <v>10962.730024</v>
      </c>
      <c r="CK57" s="92">
        <v>1674.6</v>
      </c>
      <c r="CM57" s="92">
        <v>18.4</v>
      </c>
      <c r="CN57" s="92">
        <v>5533.940024</v>
      </c>
      <c r="CO57" s="92">
        <v>7226.940024</v>
      </c>
      <c r="CP57" s="92">
        <v>2177.482</v>
      </c>
      <c r="CQ57" s="92">
        <v>9404.422024</v>
      </c>
      <c r="CS57" s="92">
        <v>42</v>
      </c>
      <c r="CT57" s="92">
        <v>1516.308</v>
      </c>
      <c r="CU57" s="92">
        <v>1558.308</v>
      </c>
      <c r="CV57" s="97">
        <f t="shared" si="7"/>
        <v>0.16569949711138146</v>
      </c>
      <c r="CW57" s="98">
        <v>2.26</v>
      </c>
    </row>
    <row r="58" spans="2:101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6" ref="V58:V82">T57</f>
        <v>2.55</v>
      </c>
      <c r="W58" s="181">
        <v>1.1</v>
      </c>
      <c r="CD58" s="96" t="s">
        <v>193</v>
      </c>
      <c r="CF58" s="92">
        <v>1558.308</v>
      </c>
      <c r="CH58" s="92">
        <v>7373.7</v>
      </c>
      <c r="CI58" s="92">
        <v>15</v>
      </c>
      <c r="CJ58" s="92">
        <v>8947</v>
      </c>
      <c r="CK58" s="92">
        <v>1664</v>
      </c>
      <c r="CM58" s="92">
        <v>21</v>
      </c>
      <c r="CN58" s="92">
        <v>4600</v>
      </c>
      <c r="CO58" s="92">
        <v>6285</v>
      </c>
      <c r="CP58" s="92">
        <v>2250</v>
      </c>
      <c r="CQ58" s="92">
        <v>8535</v>
      </c>
      <c r="CS58" s="92">
        <v>42</v>
      </c>
      <c r="CT58" s="92">
        <f>CU58-CS58</f>
        <v>370</v>
      </c>
      <c r="CU58" s="92">
        <v>412</v>
      </c>
      <c r="CV58" s="97">
        <f t="shared" si="7"/>
        <v>0.04827182190978325</v>
      </c>
      <c r="CW58" s="122" t="s">
        <v>194</v>
      </c>
    </row>
    <row r="59" spans="2:102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6"/>
        <v>3.02</v>
      </c>
      <c r="W59" s="181">
        <v>1.1</v>
      </c>
      <c r="CD59" s="79" t="s">
        <v>22</v>
      </c>
      <c r="CE59" s="79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3" t="s">
        <v>22</v>
      </c>
      <c r="CV59" s="124" t="s">
        <v>22</v>
      </c>
      <c r="CW59" s="125" t="s">
        <v>22</v>
      </c>
      <c r="CX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6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6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6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6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6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6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6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6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6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6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6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6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6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7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6"/>
        <v>2.54</v>
      </c>
      <c r="W73" s="181">
        <v>1.65</v>
      </c>
    </row>
    <row r="74" spans="18:23" ht="12.75">
      <c r="R74" s="116">
        <f>T5</f>
        <v>90</v>
      </c>
      <c r="S74" s="128">
        <f t="shared" si="27"/>
        <v>2.211509320185746</v>
      </c>
      <c r="T74" s="111">
        <f>T43</f>
        <v>2.28</v>
      </c>
      <c r="U74" s="70">
        <v>0.1958546579049092</v>
      </c>
      <c r="V74" s="111">
        <f t="shared" si="26"/>
        <v>2.36</v>
      </c>
      <c r="W74" s="181">
        <v>1.57</v>
      </c>
    </row>
    <row r="75" spans="18:23" ht="12.75">
      <c r="R75" s="116">
        <f>U5</f>
        <v>91</v>
      </c>
      <c r="S75" s="128">
        <f t="shared" si="27"/>
        <v>2.518031524784547</v>
      </c>
      <c r="T75" s="111">
        <f>U43</f>
        <v>2.37</v>
      </c>
      <c r="U75" s="70">
        <v>0.1389293835270338</v>
      </c>
      <c r="V75" s="111">
        <f t="shared" si="26"/>
        <v>2.28</v>
      </c>
      <c r="W75" s="181">
        <v>1.62</v>
      </c>
    </row>
    <row r="76" spans="18:23" ht="12.75">
      <c r="R76" s="116">
        <f>V5</f>
        <v>92</v>
      </c>
      <c r="S76" s="128">
        <f t="shared" si="27"/>
        <v>1.926342652806082</v>
      </c>
      <c r="T76" s="111">
        <f>V43</f>
        <v>2.07</v>
      </c>
      <c r="U76" s="70">
        <v>0.24881392330383484</v>
      </c>
      <c r="V76" s="111">
        <f t="shared" si="26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7"/>
        <v>2.6651353438119196</v>
      </c>
      <c r="T77" s="111">
        <f>W43</f>
        <v>2.5</v>
      </c>
      <c r="U77" s="70">
        <v>0.1116102362204726</v>
      </c>
      <c r="V77" s="111">
        <f t="shared" si="26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7"/>
        <v>2.37385145851458</v>
      </c>
      <c r="T78" s="111">
        <f>X43</f>
        <v>2.26</v>
      </c>
      <c r="U78" s="70">
        <v>0.16570555082943428</v>
      </c>
      <c r="V78" s="111">
        <f t="shared" si="26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7"/>
        <v>2.9968395276965096</v>
      </c>
      <c r="T79" s="111">
        <f>Y43</f>
        <v>3.24</v>
      </c>
      <c r="U79" s="70">
        <v>0.050008331377610925</v>
      </c>
      <c r="V79" s="111">
        <f t="shared" si="26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7"/>
        <v>2.728808460989892</v>
      </c>
      <c r="T80" s="111">
        <f>Z43</f>
        <v>2.71</v>
      </c>
      <c r="U80" s="70">
        <v>0.0997852864730478</v>
      </c>
      <c r="V80" s="111">
        <f t="shared" si="26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7"/>
        <v>2.783414659595677</v>
      </c>
      <c r="T81" s="130">
        <f>AA43</f>
        <v>2.43</v>
      </c>
      <c r="U81" s="70">
        <v>0.08964418481147106</v>
      </c>
      <c r="V81" s="111">
        <f t="shared" si="26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7"/>
        <v>2.2232917406651733</v>
      </c>
      <c r="T82" s="132">
        <f>AB43</f>
        <v>1.94</v>
      </c>
      <c r="U82" s="70">
        <v>0.19366650478398018</v>
      </c>
      <c r="V82" s="111">
        <f t="shared" si="26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2021-10-12T16:27:02Z</dcterms:modified>
  <cp:category/>
  <cp:version/>
  <cp:contentType/>
  <cp:contentStatus/>
</cp:coreProperties>
</file>