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735" tabRatio="795" firstSheet="1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<sst xmlns="http://schemas.openxmlformats.org/spreadsheetml/2006/main" count="521" uniqueCount="280">
  <si>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</si>
  <si>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</si>
  <si>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</si>
  <si>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</si>
  <si>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</si>
  <si>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</si>
  <si>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</si>
  <si>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</si>
  <si>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</si>
  <si>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</si>
  <si>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</si>
  <si>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</si>
  <si>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</si>
  <si>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</si>
  <si>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</si>
  <si>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</si>
  <si>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</si>
  <si>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</si>
  <si>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</si>
  <si>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</si>
  <si>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</si>
  <si>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</si>
  <si>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</si>
  <si>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</si>
  <si>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</si>
  <si>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</si>
  <si>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</si>
  <si>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</si>
  <si>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</si>
  <si>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</si>
  <si>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</si>
  <si>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</si>
  <si>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</si>
  <si>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</si>
  <si>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</si>
  <si>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</si>
  <si>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</si>
  <si>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</si>
  <si>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</si>
  <si>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</si>
  <si>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</si>
  <si>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</si>
  <si>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</si>
  <si>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</si>
  <si>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</si>
  <si>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</si>
  <si>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</si>
  <si>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</si>
  <si>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</si>
  <si>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</si>
  <si>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</si>
  <si>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</si>
  <si>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</si>
  <si>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</si>
  <si>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</si>
  <si>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</si>
  <si>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</si>
  <si>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</si>
  <si>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</si>
  <si>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</si>
  <si>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</si>
  <si>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</si>
  <si>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</si>
  <si>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</si>
  <si>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</si>
  <si>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</si>
  <si>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</si>
  <si>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</si>
  <si>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</si>
  <si>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</si>
  <si>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</si>
  <si>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</si>
  <si>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</si>
  <si>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</si>
  <si>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</si>
  <si>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</si>
  <si>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</si>
  <si>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</si>
  <si>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</si>
  <si>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</si>
  <si>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</si>
  <si>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</si>
  <si>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</si>
  <si>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</si>
  <si>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</si>
  <si>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</si>
  <si>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</si>
  <si>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</si>
  <si>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</si>
  <si>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</si>
  <si>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</si>
  <si>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</si>
  <si>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</si>
  <si>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</si>
  <si>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</si>
  <si>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</si>
  <si>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</si>
  <si>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</si>
  <si>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</si>
  <si>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</si>
  <si>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</si>
  <si>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</si>
  <si>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</si>
  <si>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</si>
  <si>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</si>
  <si>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</si>
  <si>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</si>
  <si>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</si>
  <si>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</si>
  <si>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</si>
  <si>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</si>
  <si>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</si>
  <si>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</si>
  <si>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</si>
  <si>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</si>
  <si>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</si>
  <si>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</si>
  <si>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</si>
  <si>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</si>
  <si>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</si>
  <si>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</si>
  <si>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</si>
  <si>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</si>
  <si>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</si>
  <si>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</si>
  <si>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</si>
  <si>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</si>
  <si>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</si>
  <si>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</si>
  <si>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</si>
  <si>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</si>
  <si>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</si>
  <si>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</si>
  <si>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</si>
  <si>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</si>
  <si>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</si>
  <si>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</si>
  <si>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</si>
  <si>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</si>
  <si>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</si>
  <si>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</si>
  <si>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</si>
  <si>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</si>
  <si>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</si>
  <si>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</si>
  <si>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</si>
  <si>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</si>
  <si>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</si>
  <si>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</si>
  <si>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</si>
  <si>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</si>
  <si>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</si>
  <si>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</si>
  <si>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</si>
  <si>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</si>
  <si>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</si>
  <si>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</si>
  <si>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</si>
  <si>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</si>
  <si>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</si>
  <si>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</si>
  <si>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</si>
  <si>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</si>
  <si>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</si>
  <si>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</si>
  <si>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</si>
  <si>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</si>
  <si>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</si>
  <si>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</si>
  <si>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</si>
  <si>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</si>
  <si>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</si>
  <si>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</si>
  <si>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</si>
  <si>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</si>
  <si>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</si>
  <si>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</si>
  <si>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</si>
  <si>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</si>
  <si>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</si>
  <si>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</si>
  <si>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</si>
  <si>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</si>
  <si>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</si>
  <si>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</si>
  <si>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</si>
  <si>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</si>
  <si>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</si>
  <si>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</si>
  <si>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</si>
  <si>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</si>
  <si>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</si>
  <si>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</si>
  <si>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</si>
  <si>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</si>
  <si>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</si>
  <si>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</si>
  <si>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</si>
  <si>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</si>
  <si>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</si>
  <si>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</si>
  <si>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</si>
  <si>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</si>
  <si>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</si>
  <si>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</si>
  <si>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</si>
  <si>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</si>
  <si>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</si>
  <si>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</si>
  <si>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</si>
  <si>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</si>
  <si>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</si>
  <si>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</si>
  <si>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</si>
  <si>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</si>
  <si>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</si>
  <si>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</si>
  <si>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</si>
  <si>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</si>
  <si>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</si>
  <si>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</si>
  <si>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</si>
  <si>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</si>
  <si>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</si>
  <si>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</si>
  <si>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</si>
  <si>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</si>
  <si>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</si>
  <si>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</si>
  <si>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</si>
  <si>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</si>
  <si>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</si>
  <si>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</si>
  <si>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</si>
  <si>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</si>
  <si>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</si>
  <si>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</si>
  <si>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</si>
  <si>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</si>
  <si>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</si>
  <si>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</si>
  <si>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</si>
  <si>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</si>
  <si>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</si>
  <si>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</si>
  <si>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</si>
  <si>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</si>
  <si>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</si>
  <si>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</si>
  <si>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</si>
  <si>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</si>
  <si>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</si>
  <si>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</si>
  <si>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</si>
  <si>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</si>
  <si>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</si>
  <si>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</si>
  <si>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</si>
  <si>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</si>
  <si>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</si>
  <si>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</si>
  <si>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</si>
  <si>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</si>
  <si>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</si>
  <si>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</si>
  <si>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</si>
  <si>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</si>
  <si>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</si>
  <si>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</si>
  <si>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</si>
  <si>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</si>
  <si>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</si>
  <si>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</si>
  <si>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</si>
  <si>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</si>
  <si>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</si>
  <si>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</si>
  <si>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</si>
  <si>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Updated 2.9.21</t>
  </si>
  <si>
    <t>Source:  USDA WASDE Report 2.9.21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</si>
</sst>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9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5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18"/>
      <name val="Verdana"/>
      <family val="2"/>
    </font>
    <font>
      <sz val="15"/>
      <color indexed="8"/>
      <name val="Verdana"/>
      <family val="2"/>
    </font>
    <font>
      <sz val="16"/>
      <color indexed="8"/>
      <name val="Verdana"/>
      <family val="2"/>
    </font>
    <font>
      <sz val="5.75"/>
      <color indexed="8"/>
      <name val="Verdana"/>
      <family val="2"/>
    </font>
    <font>
      <sz val="10.6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sz val="11"/>
      <name val="Calibri"/>
      <family val="2"/>
    </font>
    <font>
      <b/>
      <sz val="9.5"/>
      <color indexed="8"/>
      <name val="Verdana"/>
      <family val="2"/>
    </font>
    <font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10"/>
      <name val="Verdana"/>
      <family val="2"/>
    </font>
    <font>
      <b/>
      <sz val="9"/>
      <color indexed="56"/>
      <name val="Verdana"/>
      <family val="2"/>
    </font>
    <font>
      <b/>
      <sz val="10"/>
      <color indexed="18"/>
      <name val="Verdana"/>
      <family val="2"/>
    </font>
    <font>
      <b/>
      <sz val="15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b/>
      <sz val="9"/>
      <color indexed="8"/>
      <name val="Verdana"/>
      <family val="2"/>
    </font>
    <font>
      <b/>
      <sz val="2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6CA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33" borderId="0" xfId="0" applyNumberFormat="1" applyFill="1" applyAlignment="1">
      <alignment/>
    </xf>
    <xf numFmtId="177" fontId="4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12" xfId="42" applyNumberFormat="1" applyFont="1" applyFill="1" applyBorder="1" applyAlignment="1" applyProtection="1">
      <alignment/>
      <protection/>
    </xf>
    <xf numFmtId="0" fontId="21" fillId="34" borderId="12" xfId="0" applyFont="1" applyFill="1" applyBorder="1" applyAlignment="1" applyProtection="1">
      <alignment horizontal="left"/>
      <protection locked="0"/>
    </xf>
    <xf numFmtId="9" fontId="21" fillId="34" borderId="1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35" borderId="13" xfId="0" applyNumberFormat="1" applyFont="1" applyFill="1" applyBorder="1" applyAlignment="1" applyProtection="1">
      <alignment/>
      <protection/>
    </xf>
    <xf numFmtId="7" fontId="19" fillId="35" borderId="14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35" borderId="13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36" borderId="0" xfId="0" applyNumberFormat="1" applyFont="1" applyFill="1" applyAlignment="1">
      <alignment/>
    </xf>
    <xf numFmtId="1" fontId="18" fillId="35" borderId="13" xfId="0" applyNumberFormat="1" applyFont="1" applyFill="1" applyBorder="1" applyAlignment="1" applyProtection="1">
      <alignment/>
      <protection/>
    </xf>
    <xf numFmtId="7" fontId="18" fillId="35" borderId="13" xfId="0" applyNumberFormat="1" applyFont="1" applyFill="1" applyBorder="1" applyAlignment="1" applyProtection="1">
      <alignment/>
      <protection/>
    </xf>
    <xf numFmtId="1" fontId="16" fillId="35" borderId="13" xfId="0" applyNumberFormat="1" applyFont="1" applyFill="1" applyBorder="1" applyAlignment="1" applyProtection="1">
      <alignment/>
      <protection/>
    </xf>
    <xf numFmtId="7" fontId="16" fillId="35" borderId="13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37" borderId="0" xfId="0" applyFont="1" applyFill="1" applyAlignment="1">
      <alignment horizontal="centerContinuous"/>
    </xf>
    <xf numFmtId="0" fontId="14" fillId="37" borderId="0" xfId="0" applyFont="1" applyFill="1" applyAlignment="1">
      <alignment horizontal="center"/>
    </xf>
    <xf numFmtId="2" fontId="19" fillId="37" borderId="0" xfId="0" applyNumberFormat="1" applyFont="1" applyFill="1" applyAlignment="1" quotePrefix="1">
      <alignment horizontal="right"/>
    </xf>
    <xf numFmtId="186" fontId="13" fillId="37" borderId="0" xfId="42" applyNumberFormat="1" applyFont="1" applyFill="1" applyAlignment="1">
      <alignment horizontal="right"/>
    </xf>
    <xf numFmtId="186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 horizontal="right"/>
    </xf>
    <xf numFmtId="187" fontId="20" fillId="37" borderId="0" xfId="42" applyNumberFormat="1" applyFont="1" applyFill="1" applyBorder="1" applyAlignment="1" applyProtection="1">
      <alignment horizontal="right"/>
      <protection/>
    </xf>
    <xf numFmtId="187" fontId="20" fillId="37" borderId="0" xfId="42" applyNumberFormat="1" applyFont="1" applyFill="1" applyBorder="1" applyAlignment="1" applyProtection="1">
      <alignment/>
      <protection/>
    </xf>
    <xf numFmtId="3" fontId="13" fillId="37" borderId="0" xfId="42" applyNumberFormat="1" applyFont="1" applyFill="1" applyAlignment="1">
      <alignment horizontal="right"/>
    </xf>
    <xf numFmtId="3" fontId="13" fillId="37" borderId="0" xfId="42" applyNumberFormat="1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Alignment="1">
      <alignment wrapText="1"/>
    </xf>
    <xf numFmtId="0" fontId="9" fillId="35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>
      <alignment/>
    </xf>
    <xf numFmtId="14" fontId="18" fillId="0" borderId="19" xfId="0" applyNumberFormat="1" applyFont="1" applyBorder="1" applyAlignment="1">
      <alignment/>
    </xf>
    <xf numFmtId="14" fontId="18" fillId="0" borderId="19" xfId="0" applyNumberFormat="1" applyFont="1" applyBorder="1" applyAlignment="1">
      <alignment horizontal="center"/>
    </xf>
    <xf numFmtId="14" fontId="18" fillId="0" borderId="19" xfId="0" applyNumberFormat="1" applyFont="1" applyFill="1" applyBorder="1" applyAlignment="1">
      <alignment horizontal="center"/>
    </xf>
    <xf numFmtId="14" fontId="18" fillId="0" borderId="19" xfId="0" applyNumberFormat="1" applyFont="1" applyFill="1" applyBorder="1" applyAlignment="1">
      <alignment horizontal="right"/>
    </xf>
    <xf numFmtId="14" fontId="18" fillId="37" borderId="19" xfId="0" applyNumberFormat="1" applyFont="1" applyFill="1" applyBorder="1" applyAlignment="1">
      <alignment horizontal="right"/>
    </xf>
    <xf numFmtId="183" fontId="21" fillId="34" borderId="12" xfId="0" applyNumberFormat="1" applyFont="1" applyFill="1" applyBorder="1" applyAlignment="1" applyProtection="1">
      <alignment/>
      <protection/>
    </xf>
    <xf numFmtId="0" fontId="24" fillId="38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35" borderId="13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37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35" borderId="13" xfId="0" applyNumberFormat="1" applyFont="1" applyFill="1" applyBorder="1" applyAlignment="1" applyProtection="1">
      <alignment/>
      <protection/>
    </xf>
    <xf numFmtId="7" fontId="26" fillId="35" borderId="14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9" fontId="13" fillId="37" borderId="0" xfId="59" applyFont="1" applyFill="1" applyAlignment="1">
      <alignment/>
    </xf>
    <xf numFmtId="3" fontId="25" fillId="37" borderId="0" xfId="42" applyNumberFormat="1" applyFont="1" applyFill="1" applyAlignment="1">
      <alignment horizontal="right"/>
    </xf>
    <xf numFmtId="187" fontId="0" fillId="39" borderId="0" xfId="42" applyNumberFormat="1" applyFont="1" applyFill="1" applyAlignment="1">
      <alignment/>
    </xf>
    <xf numFmtId="177" fontId="0" fillId="39" borderId="0" xfId="0" applyNumberFormat="1" applyFill="1" applyAlignment="1">
      <alignment/>
    </xf>
    <xf numFmtId="37" fontId="0" fillId="39" borderId="0" xfId="0" applyNumberFormat="1" applyFill="1" applyAlignment="1">
      <alignment/>
    </xf>
    <xf numFmtId="187" fontId="0" fillId="39" borderId="0" xfId="42" applyNumberFormat="1" applyFont="1" applyFill="1" applyAlignment="1">
      <alignment/>
    </xf>
    <xf numFmtId="174" fontId="0" fillId="39" borderId="0" xfId="0" applyNumberFormat="1" applyFill="1" applyAlignment="1">
      <alignment/>
    </xf>
    <xf numFmtId="8" fontId="0" fillId="39" borderId="0" xfId="0" applyNumberFormat="1" applyFill="1" applyAlignment="1">
      <alignment/>
    </xf>
    <xf numFmtId="0" fontId="0" fillId="39" borderId="0" xfId="0" applyFill="1" applyAlignment="1">
      <alignment/>
    </xf>
    <xf numFmtId="9" fontId="0" fillId="39" borderId="0" xfId="59" applyNumberFormat="1" applyFont="1" applyFill="1" applyAlignment="1">
      <alignment/>
    </xf>
    <xf numFmtId="9" fontId="0" fillId="39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39" borderId="0" xfId="0" applyFill="1" applyAlignment="1" quotePrefix="1">
      <alignment horizontal="left"/>
    </xf>
    <xf numFmtId="0" fontId="0" fillId="40" borderId="0" xfId="0" applyFill="1" applyAlignment="1">
      <alignment/>
    </xf>
    <xf numFmtId="0" fontId="9" fillId="40" borderId="0" xfId="0" applyFont="1" applyFill="1" applyAlignment="1">
      <alignment horizontal="center"/>
    </xf>
    <xf numFmtId="187" fontId="9" fillId="40" borderId="0" xfId="42" applyNumberFormat="1" applyFont="1" applyFill="1" applyAlignment="1">
      <alignment/>
    </xf>
    <xf numFmtId="177" fontId="9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1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3" fontId="11" fillId="40" borderId="0" xfId="0" applyNumberFormat="1" applyFont="1" applyFill="1" applyAlignment="1">
      <alignment/>
    </xf>
    <xf numFmtId="187" fontId="20" fillId="37" borderId="0" xfId="42" applyNumberFormat="1" applyFont="1" applyFill="1" applyAlignment="1">
      <alignment horizontal="right"/>
    </xf>
    <xf numFmtId="202" fontId="13" fillId="37" borderId="0" xfId="42" applyNumberFormat="1" applyFont="1" applyFill="1" applyAlignment="1">
      <alignment/>
    </xf>
    <xf numFmtId="202" fontId="13" fillId="37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  <xf numFmtId="3" fontId="13" fillId="41" borderId="0" xfId="42" applyNumberFormat="1" applyFont="1" applyFill="1" applyAlignment="1">
      <alignment horizontal="right"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40" fontId="0" fillId="39" borderId="0" xfId="0" applyNumberFormat="1" applyFill="1" applyAlignment="1" applyProtection="1">
      <alignment/>
      <protection/>
    </xf>
    <xf numFmtId="183" fontId="13" fillId="37" borderId="0" xfId="59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5525"/>
          <c:w val="0.905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Data'!$H$55:$H$102</c:f>
              <c:numCache>
                <c:ptCount val="48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14609</c:v>
                </c:pt>
                <c:pt idx="45">
                  <c:v>14340</c:v>
                </c:pt>
                <c:pt idx="46">
                  <c:v>13620</c:v>
                </c:pt>
                <c:pt idx="47">
                  <c:v>14182</c:v>
                </c:pt>
              </c:numCache>
            </c:numRef>
          </c:val>
        </c:ser>
        <c:axId val="54997774"/>
        <c:axId val="25217919"/>
      </c:barChart>
      <c:catAx>
        <c:axId val="54997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7919"/>
        <c:crosses val="autoZero"/>
        <c:auto val="1"/>
        <c:lblOffset val="100"/>
        <c:tickLblSkip val="3"/>
        <c:noMultiLvlLbl val="0"/>
      </c:catAx>
      <c:valAx>
        <c:axId val="25217919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7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5903</c:v>
                </c:pt>
                <c:pt idx="47">
                  <c:v>5650</c:v>
                </c:pt>
              </c:numCache>
            </c:numRef>
          </c:val>
        </c:ser>
        <c:axId val="16628552"/>
        <c:axId val="15439241"/>
      </c:barChart>
      <c:catAx>
        <c:axId val="1662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5439241"/>
        <c:crosses val="autoZero"/>
        <c:auto val="0"/>
        <c:lblOffset val="100"/>
        <c:tickLblSkip val="3"/>
        <c:tickMarkSkip val="2"/>
        <c:noMultiLvlLbl val="0"/>
      </c:catAx>
      <c:valAx>
        <c:axId val="1543924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6285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225"/>
          <c:w val="0.8475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Data'!$X$55:$X$102</c:f>
              <c:numCache>
                <c:ptCount val="48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0.1554451287793953</c:v>
                </c:pt>
                <c:pt idx="46">
                  <c:v>0.13743464871445965</c:v>
                </c:pt>
                <c:pt idx="47">
                  <c:v>0.1027008547008547</c:v>
                </c:pt>
              </c:numCache>
            </c:numRef>
          </c:val>
        </c:ser>
        <c:axId val="4735442"/>
        <c:axId val="42618979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Data'!$Y$55:$Y$102</c:f>
              <c:numCache>
                <c:ptCount val="48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4.3</c:v>
                </c:pt>
              </c:numCache>
            </c:numRef>
          </c:val>
          <c:smooth val="0"/>
        </c:ser>
        <c:axId val="48026492"/>
        <c:axId val="29585245"/>
      </c:lineChart>
      <c:catAx>
        <c:axId val="473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2618979"/>
        <c:crosses val="autoZero"/>
        <c:auto val="0"/>
        <c:lblOffset val="100"/>
        <c:tickLblSkip val="3"/>
        <c:tickMarkSkip val="2"/>
        <c:noMultiLvlLbl val="0"/>
      </c:catAx>
      <c:valAx>
        <c:axId val="42618979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735442"/>
        <c:crossesAt val="1"/>
        <c:crossBetween val="between"/>
        <c:dispUnits/>
      </c:valAx>
      <c:catAx>
        <c:axId val="48026492"/>
        <c:scaling>
          <c:orientation val="minMax"/>
        </c:scaling>
        <c:axPos val="b"/>
        <c:delete val="1"/>
        <c:majorTickMark val="out"/>
        <c:minorTickMark val="none"/>
        <c:tickLblPos val="nextTo"/>
        <c:crossAx val="29585245"/>
        <c:crosses val="autoZero"/>
        <c:auto val="0"/>
        <c:lblOffset val="100"/>
        <c:tickLblSkip val="1"/>
        <c:noMultiLvlLbl val="0"/>
      </c:catAx>
      <c:valAx>
        <c:axId val="29585245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8026492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"/>
          <c:w val="0.266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Data'!$Q$55:$Q$102</c:f>
              <c:numCache>
                <c:ptCount val="48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2438</c:v>
                </c:pt>
                <c:pt idx="45">
                  <c:v>2066</c:v>
                </c:pt>
                <c:pt idx="46">
                  <c:v>1778</c:v>
                </c:pt>
                <c:pt idx="47">
                  <c:v>2600</c:v>
                </c:pt>
              </c:numCache>
            </c:numRef>
          </c:val>
        </c:ser>
        <c:axId val="64940614"/>
        <c:axId val="47594615"/>
      </c:barChart>
      <c:catAx>
        <c:axId val="64940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7594615"/>
        <c:crosses val="autoZero"/>
        <c:auto val="0"/>
        <c:lblOffset val="100"/>
        <c:tickLblSkip val="3"/>
        <c:tickMarkSkip val="2"/>
        <c:noMultiLvlLbl val="0"/>
      </c:catAx>
      <c:valAx>
        <c:axId val="47594615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9406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0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575"/>
          <c:w val="0.886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Data'!$Y$55:$Y$102</c:f>
              <c:numCache>
                <c:ptCount val="48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4.3</c:v>
                </c:pt>
              </c:numCache>
            </c:numRef>
          </c:val>
          <c:smooth val="0"/>
        </c:ser>
        <c:marker val="1"/>
        <c:axId val="25698352"/>
        <c:axId val="29958577"/>
      </c:lineChart>
      <c:catAx>
        <c:axId val="25698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9958577"/>
        <c:crosses val="autoZero"/>
        <c:auto val="0"/>
        <c:lblOffset val="100"/>
        <c:tickLblSkip val="3"/>
        <c:tickMarkSkip val="2"/>
        <c:noMultiLvlLbl val="0"/>
      </c:catAx>
      <c:valAx>
        <c:axId val="2995857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698352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1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CC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DD0806"/>
                        </a:solidFill>
                      </a:rPr>
                      <a:t>20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5903</c:v>
                </c:pt>
                <c:pt idx="47">
                  <c:v>5650</c:v>
                </c:pt>
              </c:numCache>
            </c:numRef>
          </c:xVal>
          <c:yVal>
            <c:numRef>
              <c:f>'Annual Data'!$Y$55:$Y$102</c:f>
              <c:numCache>
                <c:ptCount val="48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4.3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5903</c:v>
                </c:pt>
                <c:pt idx="47">
                  <c:v>5650</c:v>
                </c:pt>
              </c:numCache>
            </c:numRef>
          </c:xVal>
          <c:yVal>
            <c:numRef>
              <c:f>'Annual Data'!$D$55:$D$102</c:f>
              <c:num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numCache>
            </c:numRef>
          </c:yVal>
          <c:smooth val="0"/>
        </c:ser>
        <c:axId val="1191738"/>
        <c:axId val="10725643"/>
      </c:scatterChart>
      <c:valAx>
        <c:axId val="1191738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0725643"/>
        <c:crosses val="autoZero"/>
        <c:crossBetween val="midCat"/>
        <c:dispUnits/>
      </c:valAx>
      <c:valAx>
        <c:axId val="10725643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1738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0545"/>
          <c:w val="0.83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Data'!$S$55:$S$102</c:f>
              <c:numCache>
                <c:ptCount val="48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2140</c:v>
                </c:pt>
                <c:pt idx="45">
                  <c:v>2221</c:v>
                </c:pt>
                <c:pt idx="46">
                  <c:v>1919</c:v>
                </c:pt>
                <c:pt idx="47">
                  <c:v>1502</c:v>
                </c:pt>
              </c:numCache>
            </c:numRef>
          </c:val>
        </c:ser>
        <c:axId val="29421924"/>
        <c:axId val="63470725"/>
      </c:barChart>
      <c:catAx>
        <c:axId val="29421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3470725"/>
        <c:crosses val="autoZero"/>
        <c:auto val="0"/>
        <c:lblOffset val="100"/>
        <c:tickLblSkip val="3"/>
        <c:tickMarkSkip val="2"/>
        <c:noMultiLvlLbl val="0"/>
      </c:catAx>
      <c:valAx>
        <c:axId val="63470725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421924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49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05775"/>
          <c:w val="0.835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Data'!$AG$55:$AG$102</c:f>
              <c:numCache>
                <c:ptCount val="48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0.4830583886645219</c:v>
                </c:pt>
                <c:pt idx="45">
                  <c:v>0.47370990237099025</c:v>
                </c:pt>
                <c:pt idx="46">
                  <c:v>0.46123348017621146</c:v>
                </c:pt>
                <c:pt idx="47">
                  <c:v>0.44951346777605417</c:v>
                </c:pt>
              </c:numCache>
            </c:numRef>
          </c:val>
        </c:ser>
        <c:axId val="34365614"/>
        <c:axId val="40855071"/>
      </c:barChart>
      <c:catAx>
        <c:axId val="34365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55071"/>
        <c:crosses val="autoZero"/>
        <c:auto val="0"/>
        <c:lblOffset val="100"/>
        <c:tickLblSkip val="3"/>
        <c:noMultiLvlLbl val="0"/>
      </c:catAx>
      <c:valAx>
        <c:axId val="40855071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656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-0.01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495"/>
          <c:w val="0.895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Data'!$D$84:$D$102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'Annual Data'!$AI$84:$AI$102</c:f>
              <c:numCache>
                <c:ptCount val="19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0.37503486750348675</c:v>
                </c:pt>
                <c:pt idx="17">
                  <c:v>0.3562408223201175</c:v>
                </c:pt>
                <c:pt idx="18">
                  <c:v>0.3490339867437597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Data'!$D$84:$D$102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'Annual Data'!$AH$84:$AH$102</c:f>
              <c:numCache>
                <c:ptCount val="19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0.3630638647409131</c:v>
                </c:pt>
                <c:pt idx="16">
                  <c:v>0.3785913528591353</c:v>
                </c:pt>
                <c:pt idx="17">
                  <c:v>0.43340675477239354</c:v>
                </c:pt>
                <c:pt idx="18">
                  <c:v>0.3983923283034833</c:v>
                </c:pt>
              </c:numCache>
            </c:numRef>
          </c:val>
        </c:ser>
        <c:axId val="32151320"/>
        <c:axId val="20926425"/>
      </c:barChart>
      <c:catAx>
        <c:axId val="32151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26425"/>
        <c:crosses val="autoZero"/>
        <c:auto val="0"/>
        <c:lblOffset val="100"/>
        <c:tickLblSkip val="1"/>
        <c:noMultiLvlLbl val="0"/>
      </c:catAx>
      <c:valAx>
        <c:axId val="20926425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75"/>
              <c:y val="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513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725"/>
          <c:y val="0.13375"/>
          <c:w val="0.506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08075"/>
          <c:w val="0.871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Data'!$D$84:$D$102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'Annual Data'!$N$84:$N$102</c:f>
              <c:numCache>
                <c:ptCount val="19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5605</c:v>
                </c:pt>
                <c:pt idx="16">
                  <c:v>5378</c:v>
                </c:pt>
                <c:pt idx="17">
                  <c:v>4852</c:v>
                </c:pt>
                <c:pt idx="18">
                  <c:v>4950</c:v>
                </c:pt>
              </c:numCache>
            </c:numRef>
          </c:val>
        </c:ser>
        <c:axId val="54120098"/>
        <c:axId val="17318835"/>
      </c:barChart>
      <c:catAx>
        <c:axId val="54120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8835"/>
        <c:crosses val="autoZero"/>
        <c:auto val="0"/>
        <c:lblOffset val="100"/>
        <c:tickLblSkip val="1"/>
        <c:noMultiLvlLbl val="0"/>
      </c:catAx>
      <c:valAx>
        <c:axId val="17318835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200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4475"/>
          <c:w val="0.9287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Data'!$D$84:$D$102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'Annual Data'!$AI$84:$AI$102</c:f>
              <c:numCache>
                <c:ptCount val="19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0.37503486750348675</c:v>
                </c:pt>
                <c:pt idx="17">
                  <c:v>0.3562408223201175</c:v>
                </c:pt>
                <c:pt idx="18">
                  <c:v>0.3490339867437597</c:v>
                </c:pt>
              </c:numCache>
            </c:numRef>
          </c:val>
        </c:ser>
        <c:axId val="21651788"/>
        <c:axId val="60648365"/>
      </c:barChart>
      <c:catAx>
        <c:axId val="21651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48365"/>
        <c:crosses val="autoZero"/>
        <c:auto val="0"/>
        <c:lblOffset val="100"/>
        <c:tickLblSkip val="1"/>
        <c:noMultiLvlLbl val="0"/>
      </c:catAx>
      <c:valAx>
        <c:axId val="60648365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517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735"/>
          <c:w val="0.88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Data'!$AQ$55:$AQ$102</c:f>
              <c:numCache>
                <c:ptCount val="48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14341.32</c:v>
                </c:pt>
                <c:pt idx="46">
                  <c:v>13617.75</c:v>
                </c:pt>
                <c:pt idx="47">
                  <c:v>10156.575</c:v>
                </c:pt>
              </c:numCache>
            </c:numRef>
          </c:val>
        </c:ser>
        <c:axId val="25634680"/>
        <c:axId val="29385529"/>
      </c:barChart>
      <c:catAx>
        <c:axId val="25634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85529"/>
        <c:crosses val="autoZero"/>
        <c:auto val="1"/>
        <c:lblOffset val="100"/>
        <c:tickLblSkip val="3"/>
        <c:noMultiLvlLbl val="0"/>
      </c:catAx>
      <c:valAx>
        <c:axId val="29385529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4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25400">
                <a:solidFill>
                  <a:srgbClr val="3333CC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5903</c:v>
                </c:pt>
                <c:pt idx="47">
                  <c:v>5650</c:v>
                </c:pt>
              </c:numCache>
            </c:numRef>
          </c:val>
        </c:ser>
        <c:axId val="8964374"/>
        <c:axId val="13570503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Data'!$Y$55:$Y$102</c:f>
              <c:numCache>
                <c:ptCount val="48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4.3</c:v>
                </c:pt>
              </c:numCache>
            </c:numRef>
          </c:val>
          <c:smooth val="0"/>
        </c:ser>
        <c:axId val="55025664"/>
        <c:axId val="25468929"/>
      </c:lineChart>
      <c:catAx>
        <c:axId val="8964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570503"/>
        <c:crosses val="autoZero"/>
        <c:auto val="0"/>
        <c:lblOffset val="100"/>
        <c:tickLblSkip val="3"/>
        <c:tickMarkSkip val="3"/>
        <c:noMultiLvlLbl val="0"/>
      </c:catAx>
      <c:valAx>
        <c:axId val="13570503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964374"/>
        <c:crossesAt val="1"/>
        <c:crossBetween val="between"/>
        <c:dispUnits/>
      </c:valAx>
      <c:catAx>
        <c:axId val="55025664"/>
        <c:scaling>
          <c:orientation val="minMax"/>
        </c:scaling>
        <c:axPos val="b"/>
        <c:delete val="1"/>
        <c:majorTickMark val="out"/>
        <c:minorTickMark val="none"/>
        <c:tickLblPos val="nextTo"/>
        <c:crossAx val="25468929"/>
        <c:crosses val="autoZero"/>
        <c:auto val="0"/>
        <c:lblOffset val="100"/>
        <c:tickLblSkip val="1"/>
        <c:noMultiLvlLbl val="0"/>
      </c:catAx>
      <c:valAx>
        <c:axId val="25468929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25664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675"/>
          <c:w val="0.879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Data'!$CA$55:$CA$102</c:f>
              <c:numCache>
                <c:ptCount val="48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14341.32</c:v>
                </c:pt>
                <c:pt idx="46">
                  <c:v>13617.75</c:v>
                </c:pt>
                <c:pt idx="47">
                  <c:v>14569.5</c:v>
                </c:pt>
              </c:numCache>
            </c:numRef>
          </c:val>
        </c:ser>
        <c:axId val="63143170"/>
        <c:axId val="31417619"/>
      </c:barChart>
      <c:catAx>
        <c:axId val="63143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17619"/>
        <c:crosses val="autoZero"/>
        <c:auto val="1"/>
        <c:lblOffset val="100"/>
        <c:tickLblSkip val="3"/>
        <c:noMultiLvlLbl val="0"/>
      </c:catAx>
      <c:valAx>
        <c:axId val="31417619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43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74"/>
          <c:w val="0.902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Data'!$M$55:$M$102</c:f>
              <c:numCache>
                <c:ptCount val="48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7057</c:v>
                </c:pt>
                <c:pt idx="45">
                  <c:v>6793</c:v>
                </c:pt>
                <c:pt idx="46">
                  <c:v>6282</c:v>
                </c:pt>
                <c:pt idx="47">
                  <c:v>6375</c:v>
                </c:pt>
              </c:numCache>
            </c:numRef>
          </c:val>
        </c:ser>
        <c:axId val="14323116"/>
        <c:axId val="61799181"/>
      </c:barChart>
      <c:catAx>
        <c:axId val="1432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99181"/>
        <c:crosses val="autoZero"/>
        <c:auto val="0"/>
        <c:lblOffset val="100"/>
        <c:tickLblSkip val="3"/>
        <c:noMultiLvlLbl val="0"/>
      </c:catAx>
      <c:valAx>
        <c:axId val="61799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231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25"/>
          <c:w val="0.899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Data'!$X$55:$X$102</c:f>
              <c:numCache>
                <c:ptCount val="48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0.1554451287793953</c:v>
                </c:pt>
                <c:pt idx="46">
                  <c:v>0.13743464871445965</c:v>
                </c:pt>
                <c:pt idx="47">
                  <c:v>0.1027008547008547</c:v>
                </c:pt>
              </c:numCache>
            </c:numRef>
          </c:val>
        </c:ser>
        <c:axId val="19321718"/>
        <c:axId val="39677735"/>
      </c:barChart>
      <c:catAx>
        <c:axId val="19321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677735"/>
        <c:crosses val="autoZero"/>
        <c:auto val="0"/>
        <c:lblOffset val="100"/>
        <c:tickLblSkip val="3"/>
        <c:tickMarkSkip val="2"/>
        <c:noMultiLvlLbl val="0"/>
      </c:catAx>
      <c:valAx>
        <c:axId val="39677735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93217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875"/>
          <c:w val="0.889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Data'!$G$52:$G$102</c:f>
              <c:numCache>
                <c:ptCount val="51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176.4</c:v>
                </c:pt>
                <c:pt idx="49">
                  <c:v>167.5</c:v>
                </c:pt>
                <c:pt idx="50">
                  <c:v>172</c:v>
                </c:pt>
              </c:numCache>
            </c:numRef>
          </c:val>
        </c:ser>
        <c:axId val="21555296"/>
        <c:axId val="59779937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Data'!$D$52:$D$102</c:f>
              <c:str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</c:strCache>
            </c:strRef>
          </c:cat>
          <c:val>
            <c:numRef>
              <c:f>'Annual Data'!$AE$52:$AE$102</c:f>
              <c:numCache>
                <c:ptCount val="51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  <c:pt idx="49">
                  <c:v>182.67538747512026</c:v>
                </c:pt>
                <c:pt idx="50">
                  <c:v>185.12701807031408</c:v>
                </c:pt>
              </c:numCache>
            </c:numRef>
          </c:val>
          <c:smooth val="0"/>
        </c:ser>
        <c:axId val="21555296"/>
        <c:axId val="59779937"/>
      </c:lineChart>
      <c:catAx>
        <c:axId val="21555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59779937"/>
        <c:crosses val="autoZero"/>
        <c:auto val="0"/>
        <c:lblOffset val="100"/>
        <c:tickLblSkip val="4"/>
        <c:tickMarkSkip val="5"/>
        <c:noMultiLvlLbl val="0"/>
      </c:catAx>
      <c:valAx>
        <c:axId val="59779937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555296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85"/>
          <c:w val="0.89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80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Data'!$D$22:$D$102</c:f>
              <c:strCache>
                <c:ptCount val="8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  <c:pt idx="79">
                  <c:v>19</c:v>
                </c:pt>
                <c:pt idx="80">
                  <c:v>20</c:v>
                </c:pt>
              </c:strCache>
            </c:strRef>
          </c:cat>
          <c:val>
            <c:numRef>
              <c:f>'Annual Data'!$E$22:$E$102</c:f>
              <c:numCache>
                <c:ptCount val="81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88900</c:v>
                </c:pt>
                <c:pt idx="79">
                  <c:v>89700</c:v>
                </c:pt>
                <c:pt idx="80">
                  <c:v>90800</c:v>
                </c:pt>
              </c:numCache>
            </c:numRef>
          </c:val>
          <c:smooth val="0"/>
        </c:ser>
        <c:marker val="1"/>
        <c:axId val="1148522"/>
        <c:axId val="10336699"/>
      </c:lineChart>
      <c:catAx>
        <c:axId val="1148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10336699"/>
        <c:crosses val="autoZero"/>
        <c:auto val="0"/>
        <c:lblOffset val="100"/>
        <c:tickLblSkip val="5"/>
        <c:tickMarkSkip val="5"/>
        <c:noMultiLvlLbl val="0"/>
      </c:catAx>
      <c:valAx>
        <c:axId val="10336699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485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025"/>
          <c:w val="0.836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Data'!$K$55:$K$102</c:f>
              <c:numCache>
                <c:ptCount val="48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16939</c:v>
                </c:pt>
                <c:pt idx="45">
                  <c:v>16509</c:v>
                </c:pt>
                <c:pt idx="46">
                  <c:v>15883</c:v>
                </c:pt>
                <c:pt idx="47">
                  <c:v>16127</c:v>
                </c:pt>
              </c:numCache>
            </c:numRef>
          </c:val>
        </c:ser>
        <c:axId val="25921428"/>
        <c:axId val="31966261"/>
      </c:barChart>
      <c:catAx>
        <c:axId val="25921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1966261"/>
        <c:crosses val="autoZero"/>
        <c:auto val="0"/>
        <c:lblOffset val="100"/>
        <c:tickLblSkip val="3"/>
        <c:tickMarkSkip val="2"/>
        <c:noMultiLvlLbl val="0"/>
      </c:catAx>
      <c:valAx>
        <c:axId val="31966261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9214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35"/>
          <c:w val="0.88"/>
          <c:h val="0.806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Data'!$R$55:$R$102</c:f>
              <c:numCache>
                <c:ptCount val="48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14798</c:v>
                </c:pt>
                <c:pt idx="45">
                  <c:v>14288</c:v>
                </c:pt>
                <c:pt idx="46">
                  <c:v>13963</c:v>
                </c:pt>
                <c:pt idx="47">
                  <c:v>14625</c:v>
                </c:pt>
              </c:numCache>
            </c:numRef>
          </c:val>
          <c:smooth val="0"/>
        </c:ser>
        <c:marker val="1"/>
        <c:axId val="19260894"/>
        <c:axId val="39130319"/>
      </c:lineChart>
      <c:catAx>
        <c:axId val="1926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130319"/>
        <c:crosses val="autoZero"/>
        <c:auto val="0"/>
        <c:lblOffset val="100"/>
        <c:tickLblSkip val="3"/>
        <c:tickMarkSkip val="2"/>
        <c:noMultiLvlLbl val="0"/>
      </c:catAx>
      <c:valAx>
        <c:axId val="3913031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08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0.945</cdr:y>
    </cdr:from>
    <cdr:to>
      <cdr:x>0.4915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343275"/>
          <a:ext cx="2733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84bc4f2-09e9-4e8c-8fcd-33bbeb439851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  <cdr:relSizeAnchor xmlns:cdr="http://schemas.openxmlformats.org/drawingml/2006/chartDrawing">
    <cdr:from>
      <cdr:x>0.4385</cdr:x>
      <cdr:y>0.9595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390775" y="3390900"/>
          <a:ext cx="3114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0.394</cdr:x>
      <cdr:y>0.0635</cdr:y>
    </cdr:from>
    <cdr:to>
      <cdr:x>0.8615</cdr:x>
      <cdr:y>0.179</cdr:y>
    </cdr:to>
    <cdr:sp>
      <cdr:nvSpPr>
        <cdr:cNvPr id="3" name="Text Box 2"/>
        <cdr:cNvSpPr txBox="1">
          <a:spLocks noChangeArrowheads="1"/>
        </cdr:cNvSpPr>
      </cdr:nvSpPr>
      <cdr:spPr>
        <a:xfrm>
          <a:off x="2143125" y="219075"/>
          <a:ext cx="2552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planted acreage of 90.8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57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0</xdr:rowOff>
    </xdr:from>
    <xdr:to>
      <xdr:col>8</xdr:col>
      <xdr:colOff>504825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765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0.106</cdr:y>
    </cdr:from>
    <cdr:to>
      <cdr:x>0.57575</cdr:x>
      <cdr:y>0.422</cdr:y>
    </cdr:to>
    <cdr:sp>
      <cdr:nvSpPr>
        <cdr:cNvPr id="1" name="Text 2"/>
        <cdr:cNvSpPr txBox="1">
          <a:spLocks noChangeArrowheads="1"/>
        </cdr:cNvSpPr>
      </cdr:nvSpPr>
      <cdr:spPr>
        <a:xfrm>
          <a:off x="942975" y="352425"/>
          <a:ext cx="2209800" cy="1066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 Yield= 171.0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Yield= 168.4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Yield= 174.6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Yield= 176.6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Yield= 176.4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Yield= 167.5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 USDA Estimated Yield = 172.0</a:t>
          </a:r>
        </a:p>
      </cdr:txBody>
    </cdr:sp>
  </cdr:relSizeAnchor>
  <cdr:relSizeAnchor xmlns:cdr="http://schemas.openxmlformats.org/drawingml/2006/chartDrawing">
    <cdr:from>
      <cdr:x>0.53425</cdr:x>
      <cdr:y>0.917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924175" y="3105150"/>
          <a:ext cx="2600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0.952</cdr:y>
    </cdr:from>
    <cdr:to>
      <cdr:x>0.4905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fbed94e-b377-4a67-982f-542c95c4fc67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  <cdr:relSizeAnchor xmlns:cdr="http://schemas.openxmlformats.org/drawingml/2006/chartDrawing">
    <cdr:from>
      <cdr:x>0.7815</cdr:x>
      <cdr:y>0.8715</cdr:y>
    </cdr:from>
    <cdr:to>
      <cdr:x>0.97675</cdr:x>
      <cdr:y>0.98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2952750"/>
          <a:ext cx="106680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0.92025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286125"/>
          <a:ext cx="28098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0.4915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33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4db811e-ae5b-4a21-aa8a-94f348e0d671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581025</xdr:colOff>
      <xdr:row>4</xdr:row>
      <xdr:rowOff>76200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00225" y="7239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89.7 m. acres</a:t>
          </a:r>
        </a:p>
      </xdr:txBody>
    </xdr:sp>
    <xdr:clientData/>
  </xdr:oneCellAnchor>
  <xdr:oneCellAnchor>
    <xdr:from>
      <xdr:col>4</xdr:col>
      <xdr:colOff>123825</xdr:colOff>
      <xdr:row>2</xdr:row>
      <xdr:rowOff>9525</xdr:rowOff>
    </xdr:from>
    <xdr:ext cx="2724150" cy="247650"/>
    <xdr:sp>
      <xdr:nvSpPr>
        <xdr:cNvPr id="3" name="TextBox 5"/>
        <xdr:cNvSpPr txBox="1">
          <a:spLocks noChangeArrowheads="1"/>
        </xdr:cNvSpPr>
      </xdr:nvSpPr>
      <xdr:spPr>
        <a:xfrm>
          <a:off x="2562225" y="333375"/>
          <a:ext cx="2724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planted acreage = 90.8 m. acres</a:t>
          </a:r>
        </a:p>
      </xdr:txBody>
    </xdr:sp>
    <xdr:clientData/>
  </xdr:oneCellAnchor>
  <xdr:twoCellAnchor editAs="oneCell">
    <xdr:from>
      <xdr:col>7</xdr:col>
      <xdr:colOff>47625</xdr:colOff>
      <xdr:row>19</xdr:row>
      <xdr:rowOff>28575</xdr:rowOff>
    </xdr:from>
    <xdr:to>
      <xdr:col>8</xdr:col>
      <xdr:colOff>485775</xdr:colOff>
      <xdr:row>21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0.91925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381250" y="3105150"/>
          <a:ext cx="3152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0.16425</cdr:x>
      <cdr:y>0.098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estimated planted acreage = 90.8 m. acres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326e647-8fc7-41f2-aac5-33f50bed7044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476250</xdr:colOff>
      <xdr:row>17</xdr:row>
      <xdr:rowOff>142875</xdr:rowOff>
    </xdr:from>
    <xdr:to>
      <xdr:col>8</xdr:col>
      <xdr:colOff>304800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956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0.90575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038475"/>
          <a:ext cx="2676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0.95075</cdr:y>
    </cdr:from>
    <cdr:to>
      <cdr:x>0.492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1908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70927f4-cc8e-4bcc-97ce-b655b42c2590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123825</xdr:rowOff>
    </xdr:from>
    <xdr:to>
      <xdr:col>8</xdr:col>
      <xdr:colOff>447675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8765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81300" y="3257550"/>
          <a:ext cx="2733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0.503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19450"/>
          <a:ext cx="2809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b807f8f-04b5-4075-a52f-77ecd3fe08d2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18</xdr:row>
      <xdr:rowOff>123825</xdr:rowOff>
    </xdr:from>
    <xdr:to>
      <xdr:col>8</xdr:col>
      <xdr:colOff>371475</xdr:colOff>
      <xdr:row>20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0384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552450</xdr:colOff>
      <xdr:row>17</xdr:row>
      <xdr:rowOff>133350</xdr:rowOff>
    </xdr:from>
    <xdr:to>
      <xdr:col>8</xdr:col>
      <xdr:colOff>381000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0.9635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43275" y="3409950"/>
          <a:ext cx="2790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-0.00825</cdr:x>
      <cdr:y>0.95325</cdr:y>
    </cdr:from>
    <cdr:to>
      <cdr:x>0.49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71850"/>
          <a:ext cx="3038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bbaa7d8-0387-40ba-85a9-6a15c014186a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561975</xdr:colOff>
      <xdr:row>19</xdr:row>
      <xdr:rowOff>9525</xdr:rowOff>
    </xdr:from>
    <xdr:to>
      <xdr:col>9</xdr:col>
      <xdr:colOff>390525</xdr:colOff>
      <xdr:row>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861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0.9575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86075" y="3238500"/>
          <a:ext cx="2895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ww.AgManager.info</a:t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0.46725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f925a4e-8ac9-4f75-9a99-7718aff84f5d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133350</xdr:rowOff>
    </xdr:from>
    <xdr:to>
      <xdr:col>9</xdr:col>
      <xdr:colOff>114300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0.73475</cdr:y>
    </cdr:from>
    <cdr:to>
      <cdr:x>0.74325</cdr:x>
      <cdr:y>0.78575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0.963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3238500"/>
          <a:ext cx="2771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 www.AgManager.info</a:t>
          </a:r>
        </a:p>
      </cdr:txBody>
    </cdr:sp>
  </cdr:relSizeAnchor>
  <cdr:relSizeAnchor xmlns:cdr="http://schemas.openxmlformats.org/drawingml/2006/chartDrawing">
    <cdr:from>
      <cdr:x>-0.009</cdr:x>
      <cdr:y>0.9515</cdr:y>
    </cdr:from>
    <cdr:to>
      <cdr:x>0.48425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0400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b9fe412-d491-4c1f-a591-a61349e735da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314325</xdr:colOff>
      <xdr:row>17</xdr:row>
      <xdr:rowOff>133350</xdr:rowOff>
    </xdr:from>
    <xdr:to>
      <xdr:col>9</xdr:col>
      <xdr:colOff>142875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0.956</cdr:y>
    </cdr:from>
    <cdr:to>
      <cdr:x>0.4825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38099" y="3790950"/>
          <a:ext cx="3114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a00a835-2ab1-4ba2-b3c5-fd0aedb2a1e7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266700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63627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266700</xdr:colOff>
      <xdr:row>22</xdr:row>
      <xdr:rowOff>47625</xdr:rowOff>
    </xdr:from>
    <xdr:to>
      <xdr:col>10</xdr:col>
      <xdr:colOff>95250</xdr:colOff>
      <xdr:row>24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36099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0.95725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3228975"/>
          <a:ext cx="2752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0.521</cdr:x>
      <cdr:y>0.1185</cdr:y>
    </cdr:from>
    <cdr:to>
      <cdr:x>0.957</cdr:x>
      <cdr:y>0.3085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400050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USDA estimated yield of 178.5 bu./acre &amp; 92.0 m. planted acres</a:t>
          </a:r>
        </a:p>
      </cdr:txBody>
    </cdr:sp>
  </cdr:relSizeAnchor>
  <cdr:relSizeAnchor xmlns:cdr="http://schemas.openxmlformats.org/drawingml/2006/chartDrawing">
    <cdr:from>
      <cdr:x>-0.00925</cdr:x>
      <cdr:y>0.95225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32910c2-fac5-4a30-8a40-5cef81a936b1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0.70775</cdr:x>
      <cdr:y>0.90275</cdr:y>
    </cdr:from>
    <cdr:to>
      <cdr:x>0.9935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343275"/>
          <a:ext cx="1571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0.97675</cdr:y>
    </cdr:from>
    <cdr:to>
      <cdr:x>0.70275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09975"/>
          <a:ext cx="390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1a53200-3102-45e6-bfc4-8b7eb1b4b845}" type="TxLink">
            <a:rPr lang="en-US" cap="none" sz="1100" b="1" i="0" u="none" baseline="0">
              <a:solidFill>
                <a:srgbClr val="000000"/>
              </a:solidFill>
            </a:rPr>
            <a:t>Source:  USDA WASDE Report 2.9.21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590550</xdr:colOff>
      <xdr:row>17</xdr:row>
      <xdr:rowOff>152400</xdr:rowOff>
    </xdr:from>
    <xdr:to>
      <xdr:col>8</xdr:col>
      <xdr:colOff>419100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9051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0.5465</cdr:x>
      <cdr:y>0.9785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990850" y="3324225"/>
          <a:ext cx="253365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-0.01125</cdr:x>
      <cdr:y>0.98025</cdr:y>
    </cdr:from>
    <cdr:to>
      <cdr:x>-0.01125</cdr:x>
      <cdr:y>0.98025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57149" y="3324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d535d3d-30ad-433b-ae86-665e860ef050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57150</xdr:colOff>
      <xdr:row>18</xdr:row>
      <xdr:rowOff>0</xdr:rowOff>
    </xdr:from>
    <xdr:to>
      <xdr:col>8</xdr:col>
      <xdr:colOff>495300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1465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</cdr:x>
      <cdr:y>0.95975</cdr:y>
    </cdr:from>
    <cdr:to>
      <cdr:x>0.739</cdr:x>
      <cdr:y>0.95975</cdr:y>
    </cdr:to>
    <cdr:sp>
      <cdr:nvSpPr>
        <cdr:cNvPr id="1" name="Text Box 2"/>
        <cdr:cNvSpPr txBox="1">
          <a:spLocks noChangeArrowheads="1"/>
        </cdr:cNvSpPr>
      </cdr:nvSpPr>
      <cdr:spPr>
        <a:xfrm>
          <a:off x="9410700" y="65722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0.9755</cdr:y>
    </cdr:from>
    <cdr:to>
      <cdr:x>0.6</cdr:x>
      <cdr:y>0.997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6677025"/>
          <a:ext cx="76485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4ff79d1-65c7-4f45-8e01-4b6db842b08c}" type="TxLink">
            <a:rPr lang="en-US" cap="none" sz="1100" b="1" i="0" u="none" baseline="0">
              <a:solidFill>
                <a:srgbClr val="000000"/>
              </a:solidFill>
            </a:rPr>
            <a:t>Source:  USDA WASDE Report 2.9.21 &amp; K-State Ag. Econ. Dept.</a:t>
          </a:fld>
        </a:p>
      </cdr:txBody>
    </cdr:sp>
  </cdr:relSizeAnchor>
  <cdr:relSizeAnchor xmlns:cdr="http://schemas.openxmlformats.org/drawingml/2006/chartDrawing">
    <cdr:from>
      <cdr:x>0.819</cdr:x>
      <cdr:y>0.9545</cdr:y>
    </cdr:from>
    <cdr:to>
      <cdr:x>0.95225</cdr:x>
      <cdr:y>0.98825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29875" y="6534150"/>
          <a:ext cx="169545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542925</xdr:colOff>
      <xdr:row>42</xdr:row>
      <xdr:rowOff>47625</xdr:rowOff>
    </xdr:to>
    <xdr:graphicFrame>
      <xdr:nvGraphicFramePr>
        <xdr:cNvPr id="1" name="Chart 2"/>
        <xdr:cNvGraphicFramePr/>
      </xdr:nvGraphicFramePr>
      <xdr:xfrm>
        <a:off x="0" y="0"/>
        <a:ext cx="1273492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838700" y="5153025"/>
          <a:ext cx="3667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0.3275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790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66d85f6-7b3f-4951-bfa5-fd866816d85c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476250</xdr:colOff>
      <xdr:row>29</xdr:row>
      <xdr:rowOff>28575</xdr:rowOff>
    </xdr:from>
    <xdr:to>
      <xdr:col>13</xdr:col>
      <xdr:colOff>304800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24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0.63125</cdr:x>
      <cdr:y>0.96575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372100" y="5133975"/>
          <a:ext cx="3190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</cdr:x>
      <cdr:y>0.98275</cdr:y>
    </cdr:from>
    <cdr:to>
      <cdr:x>0.25225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229225"/>
          <a:ext cx="216217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8c471f9-e89e-467c-a9ca-d455b650b08b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504825</xdr:colOff>
      <xdr:row>29</xdr:row>
      <xdr:rowOff>76200</xdr:rowOff>
    </xdr:from>
    <xdr:to>
      <xdr:col>13</xdr:col>
      <xdr:colOff>352425</xdr:colOff>
      <xdr:row>31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772025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45dfe70-961f-4b30-9bb9-36d46233e4ca}" type="TxLink">
            <a:rPr lang="en-US" cap="none" sz="800" b="0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5486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457200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0.90325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371850"/>
          <a:ext cx="1533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0.97025</cdr:y>
    </cdr:from>
    <cdr:to>
      <cdr:x>0.70775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29025"/>
          <a:ext cx="393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3d1b481-5323-48f6-b750-3718e1159d75}" type="TxLink">
            <a:rPr lang="en-US" cap="none" sz="1100" b="1" i="0" u="none" baseline="0">
              <a:solidFill>
                <a:srgbClr val="000000"/>
              </a:solidFill>
            </a:rPr>
            <a:t>Source:  USDA WASDE Report 2.9.21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5486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142875</xdr:rowOff>
    </xdr:from>
    <xdr:to>
      <xdr:col>8</xdr:col>
      <xdr:colOff>476250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0.957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0" y="34099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</cdr:y>
    </cdr:from>
    <cdr:to>
      <cdr:x>0.488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24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8593e51-7d1a-4f32-aa07-1be2e258b861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19</xdr:row>
      <xdr:rowOff>28575</xdr:rowOff>
    </xdr:from>
    <xdr:to>
      <xdr:col>8</xdr:col>
      <xdr:colOff>428625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0.9375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81275" y="3324225"/>
          <a:ext cx="2924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0.82725</cdr:x>
      <cdr:y>0.28925</cdr:y>
    </cdr:from>
    <cdr:to>
      <cdr:x>0.951</cdr:x>
      <cdr:y>0.61075</cdr:y>
    </cdr:to>
    <cdr:sp>
      <cdr:nvSpPr>
        <cdr:cNvPr id="2" name="Line 5"/>
        <cdr:cNvSpPr>
          <a:spLocks/>
        </cdr:cNvSpPr>
      </cdr:nvSpPr>
      <cdr:spPr>
        <a:xfrm>
          <a:off x="4514850" y="1019175"/>
          <a:ext cx="6762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0.189</cdr:y>
    </cdr:from>
    <cdr:to>
      <cdr:x>0.94275</cdr:x>
      <cdr:y>0.329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66750"/>
          <a:ext cx="3152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planted acreage of 90.8 million acres 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0.49075</cdr:x>
      <cdr:y>1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-47624" y="33813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59eb355-85c3-4dc7-a82e-544817499c38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B3:DK209"/>
  <sheetViews>
    <sheetView zoomScalePageLayoutView="0" workbookViewId="0" topLeftCell="A1">
      <pane xSplit="3" ySplit="10" topLeftCell="D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01" sqref="D101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256</v>
      </c>
      <c r="D3" s="7" t="s">
        <v>214</v>
      </c>
    </row>
    <row r="4" ht="12.75">
      <c r="D4" s="7" t="s">
        <v>215</v>
      </c>
    </row>
    <row r="6" ht="12.75">
      <c r="B6" t="s">
        <v>257</v>
      </c>
    </row>
    <row r="9" spans="5:73" s="152" customFormat="1" ht="38.25">
      <c r="E9" s="164"/>
      <c r="F9" s="164"/>
      <c r="G9" s="165"/>
      <c r="H9" s="164"/>
      <c r="I9" s="164"/>
      <c r="K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X9" s="166"/>
      <c r="Y9" s="167" t="s">
        <v>216</v>
      </c>
      <c r="Z9" s="167"/>
      <c r="AA9" s="167"/>
      <c r="AH9" s="152" t="s">
        <v>219</v>
      </c>
      <c r="AI9" s="152" t="s">
        <v>245</v>
      </c>
      <c r="AK9" s="168"/>
      <c r="AL9" s="169" t="s">
        <v>238</v>
      </c>
      <c r="AM9" s="170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U9" s="172" t="s">
        <v>239</v>
      </c>
    </row>
    <row r="10" spans="2:106" s="152" customFormat="1" ht="51.75" thickBot="1">
      <c r="B10" s="153" t="s">
        <v>20</v>
      </c>
      <c r="C10" s="153" t="s">
        <v>20</v>
      </c>
      <c r="D10" s="157" t="s">
        <v>20</v>
      </c>
      <c r="E10" s="154" t="s">
        <v>62</v>
      </c>
      <c r="F10" s="154" t="s">
        <v>69</v>
      </c>
      <c r="G10" s="155" t="s">
        <v>217</v>
      </c>
      <c r="H10" s="154" t="s">
        <v>104</v>
      </c>
      <c r="I10" s="156" t="s">
        <v>105</v>
      </c>
      <c r="J10" s="157" t="s">
        <v>108</v>
      </c>
      <c r="K10" s="154" t="s">
        <v>218</v>
      </c>
      <c r="L10" s="157" t="s">
        <v>110</v>
      </c>
      <c r="M10" s="154" t="s">
        <v>114</v>
      </c>
      <c r="N10" s="154" t="s">
        <v>233</v>
      </c>
      <c r="O10" s="154" t="s">
        <v>219</v>
      </c>
      <c r="P10" s="154" t="s">
        <v>0</v>
      </c>
      <c r="Q10" s="154" t="s">
        <v>1</v>
      </c>
      <c r="R10" s="154" t="s">
        <v>2</v>
      </c>
      <c r="S10" s="154" t="s">
        <v>3</v>
      </c>
      <c r="T10" s="154" t="s">
        <v>129</v>
      </c>
      <c r="U10" s="154" t="s">
        <v>131</v>
      </c>
      <c r="V10" s="154" t="s">
        <v>133</v>
      </c>
      <c r="W10" s="157" t="s">
        <v>135</v>
      </c>
      <c r="X10" s="158" t="s">
        <v>4</v>
      </c>
      <c r="Y10" s="157" t="s">
        <v>234</v>
      </c>
      <c r="Z10" s="157" t="s">
        <v>235</v>
      </c>
      <c r="AA10" s="157" t="s">
        <v>236</v>
      </c>
      <c r="AB10" s="157" t="s">
        <v>143</v>
      </c>
      <c r="AC10" s="157" t="s">
        <v>145</v>
      </c>
      <c r="AD10" s="157" t="s">
        <v>147</v>
      </c>
      <c r="AE10" s="157" t="s">
        <v>5</v>
      </c>
      <c r="AF10" s="157" t="s">
        <v>6</v>
      </c>
      <c r="AG10" s="159" t="s">
        <v>226</v>
      </c>
      <c r="AH10" s="159" t="s">
        <v>227</v>
      </c>
      <c r="AI10" s="160" t="s">
        <v>244</v>
      </c>
      <c r="AK10" s="173" t="str">
        <f aca="true" t="shared" si="0" ref="AK10:BL10">B10</f>
        <v>Year</v>
      </c>
      <c r="AL10" s="173" t="str">
        <f t="shared" si="0"/>
        <v>Year</v>
      </c>
      <c r="AM10" s="173" t="str">
        <f t="shared" si="0"/>
        <v>Year</v>
      </c>
      <c r="AN10" s="161" t="str">
        <f t="shared" si="0"/>
        <v>Planted Acres</v>
      </c>
      <c r="AO10" s="161" t="str">
        <f t="shared" si="0"/>
        <v>Harvested Acres</v>
      </c>
      <c r="AP10" s="161" t="str">
        <f t="shared" si="0"/>
        <v>Actual Yield</v>
      </c>
      <c r="AQ10" s="161" t="str">
        <f t="shared" si="0"/>
        <v>Production</v>
      </c>
      <c r="AR10" s="161" t="str">
        <f t="shared" si="0"/>
        <v>Stocks</v>
      </c>
      <c r="AS10" s="161" t="str">
        <f t="shared" si="0"/>
        <v>Imports</v>
      </c>
      <c r="AT10" s="161" t="str">
        <f t="shared" si="0"/>
        <v>Total Supply</v>
      </c>
      <c r="AU10" s="161" t="str">
        <f t="shared" si="0"/>
        <v>Seed</v>
      </c>
      <c r="AV10" s="161" t="str">
        <f t="shared" si="0"/>
        <v>Food, Alcohol &amp; Industrial</v>
      </c>
      <c r="AW10" s="161" t="str">
        <f t="shared" si="0"/>
        <v>Corn Used for Ethanol</v>
      </c>
      <c r="AX10" s="161" t="str">
        <f t="shared" si="0"/>
        <v>Feed &amp; Residual Usage</v>
      </c>
      <c r="AY10" s="161" t="str">
        <f t="shared" si="0"/>
        <v>All Dom. Use</v>
      </c>
      <c r="AZ10" s="161" t="str">
        <f t="shared" si="0"/>
        <v>Exports</v>
      </c>
      <c r="BA10" s="161" t="str">
        <f t="shared" si="0"/>
        <v>Total Usage</v>
      </c>
      <c r="BB10" s="161" t="str">
        <f t="shared" si="0"/>
        <v>Ending Stocks</v>
      </c>
      <c r="BC10" s="161" t="str">
        <f t="shared" si="0"/>
        <v>Free</v>
      </c>
      <c r="BD10" s="161" t="str">
        <f t="shared" si="0"/>
        <v>Reserve</v>
      </c>
      <c r="BE10" s="161" t="str">
        <f t="shared" si="0"/>
        <v>CCC</v>
      </c>
      <c r="BF10" s="161" t="str">
        <f t="shared" si="0"/>
        <v>Loan</v>
      </c>
      <c r="BG10" s="161" t="str">
        <f t="shared" si="0"/>
        <v>Stock/Use (%)</v>
      </c>
      <c r="BH10" s="161" t="str">
        <f t="shared" si="0"/>
        <v>Corn Avg Farm Price</v>
      </c>
      <c r="BI10" s="161" t="str">
        <f t="shared" si="0"/>
        <v>SB Avg Farm Price</v>
      </c>
      <c r="BJ10" s="161" t="str">
        <f t="shared" si="0"/>
        <v>SB/Corn P Ratio</v>
      </c>
      <c r="BK10" s="161" t="str">
        <f t="shared" si="0"/>
        <v>Target Price</v>
      </c>
      <c r="BL10" s="161" t="str">
        <f t="shared" si="0"/>
        <v>Loan Rate</v>
      </c>
      <c r="BM10" s="161" t="str">
        <f>AD10</f>
        <v>Cash/Loan Rate (%)</v>
      </c>
      <c r="BN10" s="161" t="str">
        <f>AE10</f>
        <v>Trend Yield</v>
      </c>
      <c r="BO10" s="161" t="str">
        <f aca="true" t="shared" si="1" ref="BO10:BO73">AF10</f>
        <v>GDP99 Def</v>
      </c>
      <c r="BP10" s="161" t="str">
        <f>AG10</f>
        <v>Ind &amp; Alcohol Usage % of Prod.</v>
      </c>
      <c r="BQ10" s="161" t="str">
        <f>AH10</f>
        <v>Feed Usage % of Prod</v>
      </c>
      <c r="BU10" s="178" t="str">
        <f aca="true" t="shared" si="2" ref="BU10:DA10">B10</f>
        <v>Year</v>
      </c>
      <c r="BV10" s="178" t="str">
        <f t="shared" si="2"/>
        <v>Year</v>
      </c>
      <c r="BW10" s="178" t="str">
        <f t="shared" si="2"/>
        <v>Year</v>
      </c>
      <c r="BX10" s="162" t="str">
        <f t="shared" si="2"/>
        <v>Planted Acres</v>
      </c>
      <c r="BY10" s="162" t="str">
        <f t="shared" si="2"/>
        <v>Harvested Acres</v>
      </c>
      <c r="BZ10" s="162" t="str">
        <f t="shared" si="2"/>
        <v>Actual Yield</v>
      </c>
      <c r="CA10" s="162" t="str">
        <f t="shared" si="2"/>
        <v>Production</v>
      </c>
      <c r="CB10" s="162" t="str">
        <f t="shared" si="2"/>
        <v>Stocks</v>
      </c>
      <c r="CC10" s="162" t="str">
        <f t="shared" si="2"/>
        <v>Imports</v>
      </c>
      <c r="CD10" s="162" t="str">
        <f t="shared" si="2"/>
        <v>Total Supply</v>
      </c>
      <c r="CE10" s="162" t="str">
        <f t="shared" si="2"/>
        <v>Seed</v>
      </c>
      <c r="CF10" s="162" t="str">
        <f t="shared" si="2"/>
        <v>Food, Alcohol &amp; Industrial</v>
      </c>
      <c r="CG10" s="162" t="str">
        <f t="shared" si="2"/>
        <v>Corn Used for Ethanol</v>
      </c>
      <c r="CH10" s="162" t="str">
        <f t="shared" si="2"/>
        <v>Feed &amp; Residual Usage</v>
      </c>
      <c r="CI10" s="162" t="str">
        <f t="shared" si="2"/>
        <v>All Dom. Use</v>
      </c>
      <c r="CJ10" s="162" t="str">
        <f t="shared" si="2"/>
        <v>Exports</v>
      </c>
      <c r="CK10" s="162" t="str">
        <f t="shared" si="2"/>
        <v>Total Usage</v>
      </c>
      <c r="CL10" s="162" t="str">
        <f t="shared" si="2"/>
        <v>Ending Stocks</v>
      </c>
      <c r="CM10" s="162" t="str">
        <f t="shared" si="2"/>
        <v>Free</v>
      </c>
      <c r="CN10" s="162" t="str">
        <f t="shared" si="2"/>
        <v>Reserve</v>
      </c>
      <c r="CO10" s="162" t="str">
        <f t="shared" si="2"/>
        <v>CCC</v>
      </c>
      <c r="CP10" s="162" t="str">
        <f t="shared" si="2"/>
        <v>Loan</v>
      </c>
      <c r="CQ10" s="162" t="str">
        <f t="shared" si="2"/>
        <v>Stock/Use (%)</v>
      </c>
      <c r="CR10" s="162" t="str">
        <f t="shared" si="2"/>
        <v>Corn Avg Farm Price</v>
      </c>
      <c r="CS10" s="162" t="str">
        <f t="shared" si="2"/>
        <v>SB Avg Farm Price</v>
      </c>
      <c r="CT10" s="162" t="str">
        <f t="shared" si="2"/>
        <v>SB/Corn P Ratio</v>
      </c>
      <c r="CU10" s="162" t="str">
        <f t="shared" si="2"/>
        <v>Target Price</v>
      </c>
      <c r="CV10" s="162" t="str">
        <f t="shared" si="2"/>
        <v>Loan Rate</v>
      </c>
      <c r="CW10" s="162" t="str">
        <f t="shared" si="2"/>
        <v>Cash/Loan Rate (%)</v>
      </c>
      <c r="CX10" s="162" t="str">
        <f t="shared" si="2"/>
        <v>Trend Yield</v>
      </c>
      <c r="CY10" s="162" t="str">
        <f t="shared" si="2"/>
        <v>GDP99 Def</v>
      </c>
      <c r="CZ10" s="162" t="str">
        <f t="shared" si="2"/>
        <v>Ind &amp; Alcohol Usage % of Prod.</v>
      </c>
      <c r="DA10" s="162" t="str">
        <f t="shared" si="2"/>
        <v>Feed Usage % of Prod</v>
      </c>
      <c r="DB10" s="163"/>
    </row>
    <row r="11" spans="2:105" ht="12.75">
      <c r="B11" s="10">
        <v>1929</v>
      </c>
      <c r="C11" s="10">
        <f>D11</f>
        <v>29</v>
      </c>
      <c r="D11" s="148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76">
        <f aca="true" t="shared" si="3" ref="AK11:AK74">B11</f>
        <v>1929</v>
      </c>
      <c r="AL11" s="174">
        <f aca="true" t="shared" si="4" ref="AL11:AL74">C11</f>
        <v>29</v>
      </c>
      <c r="AM11" s="174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79">
        <f aca="true" t="shared" si="10" ref="BU11:BU74">B11</f>
        <v>1929</v>
      </c>
      <c r="BV11" s="179">
        <f aca="true" t="shared" si="11" ref="BV11:BV74">C11</f>
        <v>29</v>
      </c>
      <c r="BW11" s="179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48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76">
        <f t="shared" si="3"/>
        <v>1930</v>
      </c>
      <c r="AL12" s="174">
        <f t="shared" si="4"/>
        <v>30</v>
      </c>
      <c r="AM12" s="174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79">
        <f t="shared" si="10"/>
        <v>1930</v>
      </c>
      <c r="BV12" s="179">
        <f t="shared" si="11"/>
        <v>30</v>
      </c>
      <c r="BW12" s="179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48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76">
        <f t="shared" si="3"/>
        <v>1931</v>
      </c>
      <c r="AL13" s="174">
        <f t="shared" si="4"/>
        <v>31</v>
      </c>
      <c r="AM13" s="174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79">
        <f t="shared" si="10"/>
        <v>1931</v>
      </c>
      <c r="BV13" s="179">
        <f t="shared" si="11"/>
        <v>31</v>
      </c>
      <c r="BW13" s="179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48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76">
        <f t="shared" si="3"/>
        <v>1932</v>
      </c>
      <c r="AL14" s="174">
        <f t="shared" si="4"/>
        <v>32</v>
      </c>
      <c r="AM14" s="174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79">
        <f t="shared" si="10"/>
        <v>1932</v>
      </c>
      <c r="BV14" s="179">
        <f t="shared" si="11"/>
        <v>32</v>
      </c>
      <c r="BW14" s="179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48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76">
        <f t="shared" si="3"/>
        <v>1933</v>
      </c>
      <c r="AL15" s="174">
        <f t="shared" si="4"/>
        <v>33</v>
      </c>
      <c r="AM15" s="174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79">
        <f t="shared" si="10"/>
        <v>1933</v>
      </c>
      <c r="BV15" s="179">
        <f t="shared" si="11"/>
        <v>33</v>
      </c>
      <c r="BW15" s="179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48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76">
        <f t="shared" si="3"/>
        <v>1934</v>
      </c>
      <c r="AL16" s="174">
        <f t="shared" si="4"/>
        <v>34</v>
      </c>
      <c r="AM16" s="174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79">
        <f t="shared" si="10"/>
        <v>1934</v>
      </c>
      <c r="BV16" s="179">
        <f t="shared" si="11"/>
        <v>34</v>
      </c>
      <c r="BW16" s="179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48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76">
        <f t="shared" si="3"/>
        <v>1935</v>
      </c>
      <c r="AL17" s="174">
        <f t="shared" si="4"/>
        <v>35</v>
      </c>
      <c r="AM17" s="174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79">
        <f t="shared" si="10"/>
        <v>1935</v>
      </c>
      <c r="BV17" s="179">
        <f t="shared" si="11"/>
        <v>35</v>
      </c>
      <c r="BW17" s="179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48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76">
        <f t="shared" si="3"/>
        <v>1936</v>
      </c>
      <c r="AL18" s="174">
        <f t="shared" si="4"/>
        <v>36</v>
      </c>
      <c r="AM18" s="174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79">
        <f t="shared" si="10"/>
        <v>1936</v>
      </c>
      <c r="BV18" s="179">
        <f t="shared" si="11"/>
        <v>36</v>
      </c>
      <c r="BW18" s="179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48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76">
        <f t="shared" si="3"/>
        <v>1937</v>
      </c>
      <c r="AL19" s="174">
        <f t="shared" si="4"/>
        <v>37</v>
      </c>
      <c r="AM19" s="174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79">
        <f t="shared" si="10"/>
        <v>1937</v>
      </c>
      <c r="BV19" s="179">
        <f t="shared" si="11"/>
        <v>37</v>
      </c>
      <c r="BW19" s="179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48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76">
        <f t="shared" si="3"/>
        <v>1938</v>
      </c>
      <c r="AL20" s="174">
        <f t="shared" si="4"/>
        <v>38</v>
      </c>
      <c r="AM20" s="174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79">
        <f t="shared" si="10"/>
        <v>1938</v>
      </c>
      <c r="BV20" s="179">
        <f t="shared" si="11"/>
        <v>38</v>
      </c>
      <c r="BW20" s="179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48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76">
        <f t="shared" si="3"/>
        <v>1939</v>
      </c>
      <c r="AL21" s="174">
        <f t="shared" si="4"/>
        <v>39</v>
      </c>
      <c r="AM21" s="174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79">
        <f t="shared" si="10"/>
        <v>1939</v>
      </c>
      <c r="BV21" s="179">
        <f t="shared" si="11"/>
        <v>39</v>
      </c>
      <c r="BW21" s="179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48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76">
        <f t="shared" si="3"/>
        <v>1940</v>
      </c>
      <c r="AL22" s="174">
        <f t="shared" si="4"/>
        <v>40</v>
      </c>
      <c r="AM22" s="174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79">
        <f t="shared" si="10"/>
        <v>1940</v>
      </c>
      <c r="BV22" s="179">
        <f t="shared" si="11"/>
        <v>40</v>
      </c>
      <c r="BW22" s="179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48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76">
        <f t="shared" si="3"/>
        <v>1941</v>
      </c>
      <c r="AL23" s="174">
        <f t="shared" si="4"/>
        <v>41</v>
      </c>
      <c r="AM23" s="174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79">
        <f t="shared" si="10"/>
        <v>1941</v>
      </c>
      <c r="BV23" s="179">
        <f t="shared" si="11"/>
        <v>41</v>
      </c>
      <c r="BW23" s="179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48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76">
        <f t="shared" si="3"/>
        <v>1942</v>
      </c>
      <c r="AL24" s="174">
        <f t="shared" si="4"/>
        <v>42</v>
      </c>
      <c r="AM24" s="174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79">
        <f t="shared" si="10"/>
        <v>1942</v>
      </c>
      <c r="BV24" s="179">
        <f t="shared" si="11"/>
        <v>42</v>
      </c>
      <c r="BW24" s="179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48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76">
        <f t="shared" si="3"/>
        <v>1943</v>
      </c>
      <c r="AL25" s="174">
        <f t="shared" si="4"/>
        <v>43</v>
      </c>
      <c r="AM25" s="174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79">
        <f t="shared" si="10"/>
        <v>1943</v>
      </c>
      <c r="BV25" s="179">
        <f t="shared" si="11"/>
        <v>43</v>
      </c>
      <c r="BW25" s="179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48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76">
        <f t="shared" si="3"/>
        <v>1944</v>
      </c>
      <c r="AL26" s="174">
        <f t="shared" si="4"/>
        <v>44</v>
      </c>
      <c r="AM26" s="174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79">
        <f t="shared" si="10"/>
        <v>1944</v>
      </c>
      <c r="BV26" s="179">
        <f t="shared" si="11"/>
        <v>44</v>
      </c>
      <c r="BW26" s="179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48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76">
        <f t="shared" si="3"/>
        <v>1945</v>
      </c>
      <c r="AL27" s="174">
        <f t="shared" si="4"/>
        <v>45</v>
      </c>
      <c r="AM27" s="174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79">
        <f t="shared" si="10"/>
        <v>1945</v>
      </c>
      <c r="BV27" s="179">
        <f t="shared" si="11"/>
        <v>45</v>
      </c>
      <c r="BW27" s="179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48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76">
        <f t="shared" si="3"/>
        <v>1946</v>
      </c>
      <c r="AL28" s="174">
        <f t="shared" si="4"/>
        <v>46</v>
      </c>
      <c r="AM28" s="174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79">
        <f t="shared" si="10"/>
        <v>1946</v>
      </c>
      <c r="BV28" s="179">
        <f t="shared" si="11"/>
        <v>46</v>
      </c>
      <c r="BW28" s="179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48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76">
        <f t="shared" si="3"/>
        <v>1947</v>
      </c>
      <c r="AL29" s="174">
        <f t="shared" si="4"/>
        <v>47</v>
      </c>
      <c r="AM29" s="174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79">
        <f t="shared" si="10"/>
        <v>1947</v>
      </c>
      <c r="BV29" s="179">
        <f t="shared" si="11"/>
        <v>47</v>
      </c>
      <c r="BW29" s="179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48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76">
        <f t="shared" si="3"/>
        <v>1948</v>
      </c>
      <c r="AL30" s="174">
        <f t="shared" si="4"/>
        <v>48</v>
      </c>
      <c r="AM30" s="174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79">
        <f t="shared" si="10"/>
        <v>1948</v>
      </c>
      <c r="BV30" s="179">
        <f t="shared" si="11"/>
        <v>48</v>
      </c>
      <c r="BW30" s="179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48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76">
        <f t="shared" si="3"/>
        <v>1949</v>
      </c>
      <c r="AL31" s="174">
        <f t="shared" si="4"/>
        <v>49</v>
      </c>
      <c r="AM31" s="174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79">
        <f t="shared" si="10"/>
        <v>1949</v>
      </c>
      <c r="BV31" s="179">
        <f t="shared" si="11"/>
        <v>49</v>
      </c>
      <c r="BW31" s="179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48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76">
        <f t="shared" si="3"/>
        <v>1950</v>
      </c>
      <c r="AL32" s="174">
        <f t="shared" si="4"/>
        <v>50</v>
      </c>
      <c r="AM32" s="174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79">
        <f t="shared" si="10"/>
        <v>1950</v>
      </c>
      <c r="BV32" s="179">
        <f t="shared" si="11"/>
        <v>50</v>
      </c>
      <c r="BW32" s="179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48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76">
        <f t="shared" si="3"/>
        <v>1951</v>
      </c>
      <c r="AL33" s="174">
        <f t="shared" si="4"/>
        <v>51</v>
      </c>
      <c r="AM33" s="174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79">
        <f t="shared" si="10"/>
        <v>1951</v>
      </c>
      <c r="BV33" s="179">
        <f t="shared" si="11"/>
        <v>51</v>
      </c>
      <c r="BW33" s="179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48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76">
        <f t="shared" si="3"/>
        <v>1952</v>
      </c>
      <c r="AL34" s="174">
        <f t="shared" si="4"/>
        <v>52</v>
      </c>
      <c r="AM34" s="174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79">
        <f t="shared" si="10"/>
        <v>1952</v>
      </c>
      <c r="BV34" s="179">
        <f t="shared" si="11"/>
        <v>52</v>
      </c>
      <c r="BW34" s="179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48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76">
        <f t="shared" si="3"/>
        <v>1953</v>
      </c>
      <c r="AL35" s="174">
        <f t="shared" si="4"/>
        <v>53</v>
      </c>
      <c r="AM35" s="174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79">
        <f t="shared" si="10"/>
        <v>1953</v>
      </c>
      <c r="BV35" s="179">
        <f t="shared" si="11"/>
        <v>53</v>
      </c>
      <c r="BW35" s="179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48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76">
        <f t="shared" si="3"/>
        <v>1954</v>
      </c>
      <c r="AL36" s="174">
        <f t="shared" si="4"/>
        <v>54</v>
      </c>
      <c r="AM36" s="174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79">
        <f t="shared" si="10"/>
        <v>1954</v>
      </c>
      <c r="BV36" s="179">
        <f t="shared" si="11"/>
        <v>54</v>
      </c>
      <c r="BW36" s="179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48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76">
        <f t="shared" si="3"/>
        <v>1955</v>
      </c>
      <c r="AL37" s="174">
        <f t="shared" si="4"/>
        <v>55</v>
      </c>
      <c r="AM37" s="174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79">
        <f t="shared" si="10"/>
        <v>1955</v>
      </c>
      <c r="BV37" s="179">
        <f t="shared" si="11"/>
        <v>55</v>
      </c>
      <c r="BW37" s="179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48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76">
        <f t="shared" si="3"/>
        <v>1956</v>
      </c>
      <c r="AL38" s="174">
        <f t="shared" si="4"/>
        <v>56</v>
      </c>
      <c r="AM38" s="174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79">
        <f t="shared" si="10"/>
        <v>1956</v>
      </c>
      <c r="BV38" s="179">
        <f t="shared" si="11"/>
        <v>56</v>
      </c>
      <c r="BW38" s="179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48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76">
        <f t="shared" si="3"/>
        <v>1957</v>
      </c>
      <c r="AL39" s="174">
        <f t="shared" si="4"/>
        <v>57</v>
      </c>
      <c r="AM39" s="174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79">
        <f t="shared" si="10"/>
        <v>1957</v>
      </c>
      <c r="BV39" s="179">
        <f t="shared" si="11"/>
        <v>57</v>
      </c>
      <c r="BW39" s="179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48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76">
        <f t="shared" si="3"/>
        <v>1958</v>
      </c>
      <c r="AL40" s="174">
        <f t="shared" si="4"/>
        <v>58</v>
      </c>
      <c r="AM40" s="174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79">
        <f t="shared" si="10"/>
        <v>1958</v>
      </c>
      <c r="BV40" s="179">
        <f t="shared" si="11"/>
        <v>58</v>
      </c>
      <c r="BW40" s="179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48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76">
        <f t="shared" si="3"/>
        <v>1959</v>
      </c>
      <c r="AL41" s="174">
        <f t="shared" si="4"/>
        <v>59</v>
      </c>
      <c r="AM41" s="174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79">
        <f t="shared" si="10"/>
        <v>1959</v>
      </c>
      <c r="BV41" s="179">
        <f t="shared" si="11"/>
        <v>59</v>
      </c>
      <c r="BW41" s="179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48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76">
        <f t="shared" si="3"/>
        <v>1960</v>
      </c>
      <c r="AL42" s="174">
        <f t="shared" si="4"/>
        <v>60</v>
      </c>
      <c r="AM42" s="174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79">
        <f t="shared" si="10"/>
        <v>1960</v>
      </c>
      <c r="BV42" s="179">
        <f t="shared" si="11"/>
        <v>60</v>
      </c>
      <c r="BW42" s="179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48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76">
        <f t="shared" si="3"/>
        <v>1961</v>
      </c>
      <c r="AL43" s="174">
        <f t="shared" si="4"/>
        <v>61</v>
      </c>
      <c r="AM43" s="174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79">
        <f t="shared" si="10"/>
        <v>1961</v>
      </c>
      <c r="BV43" s="179">
        <f t="shared" si="11"/>
        <v>61</v>
      </c>
      <c r="BW43" s="179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48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76">
        <f t="shared" si="3"/>
        <v>1962</v>
      </c>
      <c r="AL44" s="174">
        <f t="shared" si="4"/>
        <v>62</v>
      </c>
      <c r="AM44" s="174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79">
        <f t="shared" si="10"/>
        <v>1962</v>
      </c>
      <c r="BV44" s="179">
        <f t="shared" si="11"/>
        <v>62</v>
      </c>
      <c r="BW44" s="179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48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76">
        <f t="shared" si="3"/>
        <v>1963</v>
      </c>
      <c r="AL45" s="174">
        <f t="shared" si="4"/>
        <v>63</v>
      </c>
      <c r="AM45" s="174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79">
        <f t="shared" si="10"/>
        <v>1963</v>
      </c>
      <c r="BV45" s="179">
        <f t="shared" si="11"/>
        <v>63</v>
      </c>
      <c r="BW45" s="179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48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76">
        <f t="shared" si="3"/>
        <v>1964</v>
      </c>
      <c r="AL46" s="174">
        <f t="shared" si="4"/>
        <v>64</v>
      </c>
      <c r="AM46" s="174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79">
        <f t="shared" si="10"/>
        <v>1964</v>
      </c>
      <c r="BV46" s="179">
        <f t="shared" si="11"/>
        <v>64</v>
      </c>
      <c r="BW46" s="179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48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76">
        <f t="shared" si="3"/>
        <v>1965</v>
      </c>
      <c r="AL47" s="174">
        <f t="shared" si="4"/>
        <v>65</v>
      </c>
      <c r="AM47" s="174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79">
        <f t="shared" si="10"/>
        <v>1965</v>
      </c>
      <c r="BV47" s="179">
        <f t="shared" si="11"/>
        <v>65</v>
      </c>
      <c r="BW47" s="179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48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76">
        <f t="shared" si="3"/>
        <v>1966</v>
      </c>
      <c r="AL48" s="174">
        <f t="shared" si="4"/>
        <v>66</v>
      </c>
      <c r="AM48" s="174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79">
        <f t="shared" si="10"/>
        <v>1966</v>
      </c>
      <c r="BV48" s="179">
        <f t="shared" si="11"/>
        <v>66</v>
      </c>
      <c r="BW48" s="179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48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76">
        <f t="shared" si="3"/>
        <v>1967</v>
      </c>
      <c r="AL49" s="174">
        <f t="shared" si="4"/>
        <v>67</v>
      </c>
      <c r="AM49" s="174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79">
        <f t="shared" si="10"/>
        <v>1967</v>
      </c>
      <c r="BV49" s="179">
        <f t="shared" si="11"/>
        <v>67</v>
      </c>
      <c r="BW49" s="179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48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76">
        <f t="shared" si="3"/>
        <v>1968</v>
      </c>
      <c r="AL50" s="174">
        <f t="shared" si="4"/>
        <v>68</v>
      </c>
      <c r="AM50" s="174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79">
        <f t="shared" si="10"/>
        <v>1968</v>
      </c>
      <c r="BV50" s="179">
        <f t="shared" si="11"/>
        <v>68</v>
      </c>
      <c r="BW50" s="179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48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76">
        <f t="shared" si="3"/>
        <v>1969</v>
      </c>
      <c r="AL51" s="174">
        <f t="shared" si="4"/>
        <v>69</v>
      </c>
      <c r="AM51" s="174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79">
        <f t="shared" si="10"/>
        <v>1969</v>
      </c>
      <c r="BV51" s="179">
        <f t="shared" si="11"/>
        <v>69</v>
      </c>
      <c r="BW51" s="179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48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76">
        <f t="shared" si="3"/>
        <v>1970</v>
      </c>
      <c r="AL52" s="174">
        <f t="shared" si="4"/>
        <v>70</v>
      </c>
      <c r="AM52" s="174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79">
        <f t="shared" si="10"/>
        <v>1970</v>
      </c>
      <c r="BV52" s="179">
        <f t="shared" si="11"/>
        <v>70</v>
      </c>
      <c r="BW52" s="179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2.75">
      <c r="B53" s="10">
        <f t="shared" si="48"/>
        <v>1971</v>
      </c>
      <c r="C53" s="10">
        <f t="shared" si="43"/>
        <v>71</v>
      </c>
      <c r="D53" s="148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76">
        <f t="shared" si="3"/>
        <v>1971</v>
      </c>
      <c r="AL53" s="174">
        <f t="shared" si="4"/>
        <v>71</v>
      </c>
      <c r="AM53" s="174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79">
        <f t="shared" si="10"/>
        <v>1971</v>
      </c>
      <c r="BV53" s="179">
        <f t="shared" si="11"/>
        <v>71</v>
      </c>
      <c r="BW53" s="179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2.75">
      <c r="B54" s="10">
        <f t="shared" si="48"/>
        <v>1972</v>
      </c>
      <c r="C54" s="10">
        <f t="shared" si="43"/>
        <v>72</v>
      </c>
      <c r="D54" s="148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76">
        <f t="shared" si="3"/>
        <v>1972</v>
      </c>
      <c r="AL54" s="174">
        <f t="shared" si="4"/>
        <v>72</v>
      </c>
      <c r="AM54" s="174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79">
        <f t="shared" si="10"/>
        <v>1972</v>
      </c>
      <c r="BV54" s="179">
        <f t="shared" si="11"/>
        <v>72</v>
      </c>
      <c r="BW54" s="179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48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255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76">
        <f t="shared" si="3"/>
        <v>1973</v>
      </c>
      <c r="AL55" s="174">
        <f t="shared" si="4"/>
        <v>73</v>
      </c>
      <c r="AM55" s="174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79">
        <f t="shared" si="10"/>
        <v>1973</v>
      </c>
      <c r="BV55" s="179">
        <f t="shared" si="11"/>
        <v>73</v>
      </c>
      <c r="BW55" s="179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48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255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76">
        <f t="shared" si="3"/>
        <v>1974</v>
      </c>
      <c r="AL56" s="174">
        <f t="shared" si="4"/>
        <v>74</v>
      </c>
      <c r="AM56" s="174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79">
        <f t="shared" si="10"/>
        <v>1974</v>
      </c>
      <c r="BV56" s="179">
        <f t="shared" si="11"/>
        <v>74</v>
      </c>
      <c r="BW56" s="179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48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255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76">
        <f t="shared" si="3"/>
        <v>1975</v>
      </c>
      <c r="AL57" s="174">
        <f t="shared" si="4"/>
        <v>75</v>
      </c>
      <c r="AM57" s="174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79">
        <f t="shared" si="10"/>
        <v>1975</v>
      </c>
      <c r="BV57" s="179">
        <f t="shared" si="11"/>
        <v>75</v>
      </c>
      <c r="BW57" s="179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48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255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76">
        <f t="shared" si="3"/>
        <v>1976</v>
      </c>
      <c r="AL58" s="174">
        <f t="shared" si="4"/>
        <v>76</v>
      </c>
      <c r="AM58" s="174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79">
        <f t="shared" si="10"/>
        <v>1976</v>
      </c>
      <c r="BV58" s="179">
        <f t="shared" si="11"/>
        <v>76</v>
      </c>
      <c r="BW58" s="179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48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255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76">
        <f t="shared" si="3"/>
        <v>1977</v>
      </c>
      <c r="AL59" s="174">
        <f t="shared" si="4"/>
        <v>77</v>
      </c>
      <c r="AM59" s="174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79">
        <f t="shared" si="10"/>
        <v>1977</v>
      </c>
      <c r="BV59" s="179">
        <f t="shared" si="11"/>
        <v>77</v>
      </c>
      <c r="BW59" s="179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48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255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76">
        <f t="shared" si="3"/>
        <v>1978</v>
      </c>
      <c r="AL60" s="174">
        <f t="shared" si="4"/>
        <v>78</v>
      </c>
      <c r="AM60" s="174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79">
        <f t="shared" si="10"/>
        <v>1978</v>
      </c>
      <c r="BV60" s="179">
        <f t="shared" si="11"/>
        <v>78</v>
      </c>
      <c r="BW60" s="179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48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255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76">
        <f t="shared" si="3"/>
        <v>1979</v>
      </c>
      <c r="AL61" s="174">
        <f t="shared" si="4"/>
        <v>79</v>
      </c>
      <c r="AM61" s="174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79">
        <f t="shared" si="10"/>
        <v>1979</v>
      </c>
      <c r="BV61" s="179">
        <f t="shared" si="11"/>
        <v>79</v>
      </c>
      <c r="BW61" s="179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48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255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76">
        <f t="shared" si="3"/>
        <v>1980</v>
      </c>
      <c r="AL62" s="174">
        <f t="shared" si="4"/>
        <v>80</v>
      </c>
      <c r="AM62" s="174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79">
        <f t="shared" si="10"/>
        <v>1980</v>
      </c>
      <c r="BV62" s="179">
        <f t="shared" si="11"/>
        <v>80</v>
      </c>
      <c r="BW62" s="179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48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255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76">
        <f t="shared" si="3"/>
        <v>1981</v>
      </c>
      <c r="AL63" s="174">
        <f t="shared" si="4"/>
        <v>81</v>
      </c>
      <c r="AM63" s="174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79">
        <f t="shared" si="10"/>
        <v>1981</v>
      </c>
      <c r="BV63" s="179">
        <f t="shared" si="11"/>
        <v>81</v>
      </c>
      <c r="BW63" s="179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48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255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76">
        <f t="shared" si="3"/>
        <v>1982</v>
      </c>
      <c r="AL64" s="174">
        <f t="shared" si="4"/>
        <v>82</v>
      </c>
      <c r="AM64" s="174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79">
        <f t="shared" si="10"/>
        <v>1982</v>
      </c>
      <c r="BV64" s="179">
        <f t="shared" si="11"/>
        <v>82</v>
      </c>
      <c r="BW64" s="179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48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255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76">
        <f t="shared" si="3"/>
        <v>1983</v>
      </c>
      <c r="AL65" s="174">
        <f t="shared" si="4"/>
        <v>83</v>
      </c>
      <c r="AM65" s="174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79">
        <f t="shared" si="10"/>
        <v>1983</v>
      </c>
      <c r="BV65" s="179">
        <f t="shared" si="11"/>
        <v>83</v>
      </c>
      <c r="BW65" s="179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48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255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76">
        <f t="shared" si="3"/>
        <v>1984</v>
      </c>
      <c r="AL66" s="174">
        <f t="shared" si="4"/>
        <v>84</v>
      </c>
      <c r="AM66" s="174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79">
        <f t="shared" si="10"/>
        <v>1984</v>
      </c>
      <c r="BV66" s="179">
        <f t="shared" si="11"/>
        <v>84</v>
      </c>
      <c r="BW66" s="179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48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255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76">
        <f t="shared" si="3"/>
        <v>1985</v>
      </c>
      <c r="AL67" s="174">
        <f t="shared" si="4"/>
        <v>85</v>
      </c>
      <c r="AM67" s="174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79">
        <f t="shared" si="10"/>
        <v>1985</v>
      </c>
      <c r="BV67" s="179">
        <f t="shared" si="11"/>
        <v>85</v>
      </c>
      <c r="BW67" s="179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48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255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76">
        <f t="shared" si="3"/>
        <v>1986</v>
      </c>
      <c r="AL68" s="174">
        <f t="shared" si="4"/>
        <v>86</v>
      </c>
      <c r="AM68" s="174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79">
        <f t="shared" si="10"/>
        <v>1986</v>
      </c>
      <c r="BV68" s="179">
        <f t="shared" si="11"/>
        <v>86</v>
      </c>
      <c r="BW68" s="179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48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255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76">
        <f t="shared" si="3"/>
        <v>1987</v>
      </c>
      <c r="AL69" s="174">
        <f t="shared" si="4"/>
        <v>87</v>
      </c>
      <c r="AM69" s="174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79">
        <f t="shared" si="10"/>
        <v>1987</v>
      </c>
      <c r="BV69" s="179">
        <f t="shared" si="11"/>
        <v>87</v>
      </c>
      <c r="BW69" s="179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48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255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76">
        <f t="shared" si="3"/>
        <v>1988</v>
      </c>
      <c r="AL70" s="174">
        <f t="shared" si="4"/>
        <v>88</v>
      </c>
      <c r="AM70" s="174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79">
        <f t="shared" si="10"/>
        <v>1988</v>
      </c>
      <c r="BV70" s="179">
        <f t="shared" si="11"/>
        <v>88</v>
      </c>
      <c r="BW70" s="179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48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255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76">
        <f t="shared" si="3"/>
        <v>1989</v>
      </c>
      <c r="AL71" s="174">
        <f t="shared" si="4"/>
        <v>89</v>
      </c>
      <c r="AM71" s="174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79">
        <f t="shared" si="10"/>
        <v>1989</v>
      </c>
      <c r="BV71" s="179">
        <f t="shared" si="11"/>
        <v>89</v>
      </c>
      <c r="BW71" s="179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48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255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76">
        <f t="shared" si="3"/>
        <v>1990</v>
      </c>
      <c r="AL72" s="174">
        <f t="shared" si="4"/>
        <v>90</v>
      </c>
      <c r="AM72" s="174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79">
        <f t="shared" si="10"/>
        <v>1990</v>
      </c>
      <c r="BV72" s="179">
        <f t="shared" si="11"/>
        <v>90</v>
      </c>
      <c r="BW72" s="179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48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255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76">
        <f t="shared" si="3"/>
        <v>1991</v>
      </c>
      <c r="AL73" s="174">
        <f t="shared" si="4"/>
        <v>91</v>
      </c>
      <c r="AM73" s="174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79">
        <f t="shared" si="10"/>
        <v>1991</v>
      </c>
      <c r="BV73" s="179">
        <f t="shared" si="11"/>
        <v>91</v>
      </c>
      <c r="BW73" s="179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48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255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76">
        <f t="shared" si="3"/>
        <v>1992</v>
      </c>
      <c r="AL74" s="174">
        <f t="shared" si="4"/>
        <v>92</v>
      </c>
      <c r="AM74" s="174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79">
        <f t="shared" si="10"/>
        <v>1992</v>
      </c>
      <c r="BV74" s="179">
        <f t="shared" si="11"/>
        <v>92</v>
      </c>
      <c r="BW74" s="179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48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255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76">
        <f aca="true" t="shared" si="84" ref="AK75:AK90">B75</f>
        <v>1993</v>
      </c>
      <c r="AL75" s="174">
        <f aca="true" t="shared" si="85" ref="AL75:AL90">C75</f>
        <v>93</v>
      </c>
      <c r="AM75" s="174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79">
        <f aca="true" t="shared" si="112" ref="BU75:BU90">B75</f>
        <v>1993</v>
      </c>
      <c r="BV75" s="179">
        <f aca="true" t="shared" si="113" ref="BV75:BV89">C75</f>
        <v>93</v>
      </c>
      <c r="BW75" s="179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48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255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76">
        <f t="shared" si="84"/>
        <v>1994</v>
      </c>
      <c r="AL76" s="174">
        <f t="shared" si="85"/>
        <v>94</v>
      </c>
      <c r="AM76" s="174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79">
        <f t="shared" si="112"/>
        <v>1994</v>
      </c>
      <c r="BV76" s="179">
        <f t="shared" si="113"/>
        <v>94</v>
      </c>
      <c r="BW76" s="179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49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255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76">
        <f t="shared" si="84"/>
        <v>1995</v>
      </c>
      <c r="AL77" s="174">
        <f t="shared" si="85"/>
        <v>95</v>
      </c>
      <c r="AM77" s="174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79">
        <f t="shared" si="112"/>
        <v>1995</v>
      </c>
      <c r="BV77" s="179">
        <f t="shared" si="113"/>
        <v>95</v>
      </c>
      <c r="BW77" s="179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48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255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76">
        <f t="shared" si="84"/>
        <v>1996</v>
      </c>
      <c r="AL78" s="174">
        <f t="shared" si="85"/>
        <v>96</v>
      </c>
      <c r="AM78" s="174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79">
        <f t="shared" si="112"/>
        <v>1996</v>
      </c>
      <c r="BV78" s="179">
        <f t="shared" si="113"/>
        <v>96</v>
      </c>
      <c r="BW78" s="179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48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255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76">
        <f t="shared" si="84"/>
        <v>1997</v>
      </c>
      <c r="AL79" s="174">
        <f t="shared" si="85"/>
        <v>97</v>
      </c>
      <c r="AM79" s="174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79">
        <f t="shared" si="112"/>
        <v>1997</v>
      </c>
      <c r="BV79" s="179">
        <f t="shared" si="113"/>
        <v>97</v>
      </c>
      <c r="BW79" s="179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48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255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76">
        <f t="shared" si="84"/>
        <v>1998</v>
      </c>
      <c r="AL80" s="174">
        <f t="shared" si="85"/>
        <v>98</v>
      </c>
      <c r="AM80" s="174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79">
        <f t="shared" si="112"/>
        <v>1998</v>
      </c>
      <c r="BV80" s="179">
        <f t="shared" si="113"/>
        <v>98</v>
      </c>
      <c r="BW80" s="179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48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255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76">
        <f t="shared" si="84"/>
        <v>1999</v>
      </c>
      <c r="AL81" s="174">
        <f t="shared" si="85"/>
        <v>99</v>
      </c>
      <c r="AM81" s="174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79">
        <f t="shared" si="112"/>
        <v>1999</v>
      </c>
      <c r="BV81" s="179">
        <f t="shared" si="113"/>
        <v>99</v>
      </c>
      <c r="BW81" s="179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0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255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76">
        <f t="shared" si="84"/>
        <v>2000</v>
      </c>
      <c r="AL82" s="174">
        <f t="shared" si="85"/>
        <v>100</v>
      </c>
      <c r="AM82" s="174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79">
        <f t="shared" si="112"/>
        <v>2000</v>
      </c>
      <c r="BV82" s="179">
        <f t="shared" si="113"/>
        <v>100</v>
      </c>
      <c r="BW82" s="179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0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255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76">
        <f t="shared" si="84"/>
        <v>2001</v>
      </c>
      <c r="AL83" s="174">
        <f t="shared" si="85"/>
        <v>101</v>
      </c>
      <c r="AM83" s="174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79">
        <f t="shared" si="112"/>
        <v>2001</v>
      </c>
      <c r="BV83" s="179">
        <f t="shared" si="113"/>
        <v>101</v>
      </c>
      <c r="BW83" s="179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0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255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76">
        <f t="shared" si="84"/>
        <v>2002</v>
      </c>
      <c r="AL84" s="174">
        <f t="shared" si="85"/>
        <v>102</v>
      </c>
      <c r="AM84" s="174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79">
        <f t="shared" si="112"/>
        <v>2002</v>
      </c>
      <c r="BV84" s="179">
        <f t="shared" si="113"/>
        <v>102</v>
      </c>
      <c r="BW84" s="179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0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255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76">
        <f t="shared" si="84"/>
        <v>2003</v>
      </c>
      <c r="AL85" s="174">
        <f t="shared" si="85"/>
        <v>103</v>
      </c>
      <c r="AM85" s="174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79">
        <f t="shared" si="112"/>
        <v>2003</v>
      </c>
      <c r="BV85" s="179">
        <f t="shared" si="113"/>
        <v>103</v>
      </c>
      <c r="BW85" s="179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0" t="s">
        <v>208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255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76">
        <f t="shared" si="84"/>
        <v>2004</v>
      </c>
      <c r="AL86" s="174">
        <f t="shared" si="85"/>
        <v>104</v>
      </c>
      <c r="AM86" s="174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79">
        <f t="shared" si="112"/>
        <v>2004</v>
      </c>
      <c r="BV86" s="179">
        <f t="shared" si="113"/>
        <v>104</v>
      </c>
      <c r="BW86" s="179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0" t="s">
        <v>220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255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76">
        <f t="shared" si="84"/>
        <v>2005</v>
      </c>
      <c r="AL87" s="174">
        <f t="shared" si="85"/>
        <v>105</v>
      </c>
      <c r="AM87" s="174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79">
        <f t="shared" si="112"/>
        <v>2005</v>
      </c>
      <c r="BV87" s="179">
        <f t="shared" si="113"/>
        <v>105</v>
      </c>
      <c r="BW87" s="179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0" t="s">
        <v>222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255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76">
        <f t="shared" si="84"/>
        <v>2006</v>
      </c>
      <c r="AL88" s="174">
        <f t="shared" si="85"/>
        <v>106</v>
      </c>
      <c r="AM88" s="174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79">
        <f t="shared" si="112"/>
        <v>2006</v>
      </c>
      <c r="BV88" s="179">
        <f t="shared" si="113"/>
        <v>106</v>
      </c>
      <c r="BW88" s="179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0" t="s">
        <v>228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255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77">
        <f t="shared" si="84"/>
        <v>2007</v>
      </c>
      <c r="AL89" s="175">
        <f t="shared" si="85"/>
        <v>107</v>
      </c>
      <c r="AM89" s="175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0">
        <f t="shared" si="112"/>
        <v>2007</v>
      </c>
      <c r="BV89" s="180">
        <f t="shared" si="113"/>
        <v>107</v>
      </c>
      <c r="BW89" s="180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1" t="s">
        <v>243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255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77">
        <f t="shared" si="84"/>
        <v>2008</v>
      </c>
      <c r="AL90" s="175">
        <f t="shared" si="85"/>
        <v>108</v>
      </c>
      <c r="AM90" s="175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0">
        <f t="shared" si="112"/>
        <v>2008</v>
      </c>
      <c r="BV90" s="180">
        <f aca="true" t="shared" si="157" ref="BV90:CE90">C90</f>
        <v>108</v>
      </c>
      <c r="BW90" s="180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1" t="s">
        <v>258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256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2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77">
        <f aca="true" t="shared" si="164" ref="AK91:AP91">B91</f>
        <v>2009</v>
      </c>
      <c r="AL91" s="175">
        <f t="shared" si="164"/>
        <v>109</v>
      </c>
      <c r="AM91" s="175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0">
        <f aca="true" t="shared" si="170" ref="BU91:BY92">B91</f>
        <v>2009</v>
      </c>
      <c r="BV91" s="180">
        <f t="shared" si="170"/>
        <v>109</v>
      </c>
      <c r="BW91" s="180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26" t="s">
        <v>266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256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77">
        <f aca="true" t="shared" si="178" ref="AK92:BF92">B92</f>
        <v>2010</v>
      </c>
      <c r="AL92" s="175">
        <f t="shared" si="178"/>
        <v>110</v>
      </c>
      <c r="AM92" s="175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0">
        <f t="shared" si="170"/>
        <v>2010</v>
      </c>
      <c r="BV92" s="180">
        <f t="shared" si="170"/>
        <v>110</v>
      </c>
      <c r="BW92" s="180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1" t="s">
        <v>267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256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77">
        <f aca="true" t="shared" si="184" ref="AK93:AT98">B93</f>
        <v>2011</v>
      </c>
      <c r="AL93" s="175">
        <f t="shared" si="184"/>
        <v>111</v>
      </c>
      <c r="AM93" s="175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0">
        <f aca="true" t="shared" si="187" ref="BU93:BY96">B93</f>
        <v>2011</v>
      </c>
      <c r="BV93" s="180">
        <f t="shared" si="187"/>
        <v>111</v>
      </c>
      <c r="BW93" s="180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1" t="s">
        <v>269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256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77">
        <f t="shared" si="184"/>
        <v>2012</v>
      </c>
      <c r="AL94" s="175">
        <f t="shared" si="184"/>
        <v>112</v>
      </c>
      <c r="AM94" s="175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0">
        <f t="shared" si="187"/>
        <v>2012</v>
      </c>
      <c r="BV94" s="180">
        <f t="shared" si="187"/>
        <v>112</v>
      </c>
      <c r="BW94" s="180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2">C94+1</f>
        <v>113</v>
      </c>
      <c r="D95" s="226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256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77">
        <f t="shared" si="184"/>
        <v>2013</v>
      </c>
      <c r="AL95" s="175">
        <f t="shared" si="184"/>
        <v>113</v>
      </c>
      <c r="AM95" s="175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0">
        <f t="shared" si="187"/>
        <v>2013</v>
      </c>
      <c r="BV95" s="180">
        <f t="shared" si="187"/>
        <v>113</v>
      </c>
      <c r="BW95" s="180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52">
        <v>2014</v>
      </c>
      <c r="C96" s="252">
        <f t="shared" si="190"/>
        <v>114</v>
      </c>
      <c r="D96" s="226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256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5">
        <f aca="true" t="shared" si="191" ref="AK96:AO97">B96</f>
        <v>2014</v>
      </c>
      <c r="AL96" s="175">
        <f t="shared" si="191"/>
        <v>114</v>
      </c>
      <c r="AM96" s="175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 aca="true" t="shared" si="192" ref="AQ96:AQ101">AO96*AP96/1000</f>
        <v>14215.1824</v>
      </c>
      <c r="AR96" s="68">
        <f aca="true" t="shared" si="193" ref="AR96:AS98">I96</f>
        <v>1231.8966</v>
      </c>
      <c r="AS96" s="61">
        <f t="shared" si="193"/>
        <v>32</v>
      </c>
      <c r="AT96" s="68">
        <f t="shared" si="184"/>
        <v>15479.079000000002</v>
      </c>
      <c r="AU96" s="61">
        <f aca="true" t="shared" si="194" ref="AU96:BA96">L96</f>
        <v>0</v>
      </c>
      <c r="AV96" s="68">
        <f t="shared" si="194"/>
        <v>6601</v>
      </c>
      <c r="AW96" s="68">
        <f t="shared" si="194"/>
        <v>5200</v>
      </c>
      <c r="AX96" s="68">
        <f t="shared" si="194"/>
        <v>5280</v>
      </c>
      <c r="AY96" s="68">
        <f t="shared" si="194"/>
        <v>11881</v>
      </c>
      <c r="AZ96" s="68">
        <f t="shared" si="194"/>
        <v>1867</v>
      </c>
      <c r="BA96" s="68">
        <f t="shared" si="194"/>
        <v>13748</v>
      </c>
      <c r="BB96" s="68">
        <f aca="true" t="shared" si="195" ref="BB96:BB101">S96</f>
        <v>1731</v>
      </c>
      <c r="BC96" s="68">
        <f aca="true" t="shared" si="196" ref="BC96:BC101">BB96</f>
        <v>1731</v>
      </c>
      <c r="BD96" s="61">
        <f aca="true" t="shared" si="197" ref="BD96:BD101"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0">
        <f t="shared" si="187"/>
        <v>2014</v>
      </c>
      <c r="BV96" s="180">
        <f t="shared" si="187"/>
        <v>114</v>
      </c>
      <c r="BW96" s="180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53">
        <f>'Annual Raw Data'!AZ34</f>
        <v>1888.5</v>
      </c>
      <c r="CM96" s="253">
        <f>'Annual Raw Data'!AZ36</f>
        <v>0</v>
      </c>
      <c r="CN96" s="62">
        <f aca="true" t="shared" si="198" ref="CN96:CW96">U96</f>
        <v>0</v>
      </c>
      <c r="CO96" s="62">
        <f t="shared" si="198"/>
        <v>0</v>
      </c>
      <c r="CP96" s="62">
        <f t="shared" si="198"/>
        <v>230</v>
      </c>
      <c r="CQ96" s="62">
        <f t="shared" si="198"/>
        <v>0.12590922315973233</v>
      </c>
      <c r="CR96" s="62">
        <f t="shared" si="198"/>
        <v>3.7</v>
      </c>
      <c r="CS96" s="62">
        <f t="shared" si="198"/>
        <v>10.1</v>
      </c>
      <c r="CT96" s="62">
        <f t="shared" si="198"/>
        <v>2.7297297297297294</v>
      </c>
      <c r="CU96" s="62">
        <f t="shared" si="198"/>
        <v>0</v>
      </c>
      <c r="CV96" s="62">
        <f t="shared" si="198"/>
        <v>0</v>
      </c>
      <c r="CW96" s="62">
        <f t="shared" si="198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52">
        <v>2015</v>
      </c>
      <c r="C97" s="252">
        <f t="shared" si="190"/>
        <v>115</v>
      </c>
      <c r="D97" s="226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256">
        <f aca="true" t="shared" si="199" ref="AA97:AA102"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 aca="true" t="shared" si="200" ref="AG97:AG102">M97/H97</f>
        <v>0.48875165416850463</v>
      </c>
      <c r="AH97" s="67">
        <f aca="true" t="shared" si="201" ref="AH97:AH102">O97/H97</f>
        <v>0.3759741214527275</v>
      </c>
      <c r="AI97" s="67">
        <f aca="true" t="shared" si="202" ref="AI97:AI102">N97/H97</f>
        <v>0.3840611674753713</v>
      </c>
      <c r="AJ97" s="65"/>
      <c r="AK97" s="175">
        <f t="shared" si="191"/>
        <v>2015</v>
      </c>
      <c r="AL97" s="175">
        <f t="shared" si="191"/>
        <v>115</v>
      </c>
      <c r="AM97" s="175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 t="shared" si="192"/>
        <v>13610.6792</v>
      </c>
      <c r="AR97" s="68">
        <f t="shared" si="193"/>
        <v>1731</v>
      </c>
      <c r="AS97" s="61">
        <f t="shared" si="193"/>
        <v>68</v>
      </c>
      <c r="AT97" s="68">
        <f t="shared" si="184"/>
        <v>15401</v>
      </c>
      <c r="AU97" s="61">
        <f aca="true" t="shared" si="203" ref="AU97:BA97">L97</f>
        <v>0</v>
      </c>
      <c r="AV97" s="68">
        <f t="shared" si="203"/>
        <v>6648</v>
      </c>
      <c r="AW97" s="68">
        <f t="shared" si="203"/>
        <v>5224</v>
      </c>
      <c r="AX97" s="68">
        <f t="shared" si="203"/>
        <v>5114</v>
      </c>
      <c r="AY97" s="68">
        <f t="shared" si="203"/>
        <v>11763</v>
      </c>
      <c r="AZ97" s="68">
        <f t="shared" si="203"/>
        <v>1901</v>
      </c>
      <c r="BA97" s="68">
        <f t="shared" si="203"/>
        <v>13664</v>
      </c>
      <c r="BB97" s="68">
        <f t="shared" si="195"/>
        <v>1737</v>
      </c>
      <c r="BC97" s="68">
        <f t="shared" si="196"/>
        <v>1737</v>
      </c>
      <c r="BD97" s="61">
        <f t="shared" si="197"/>
        <v>0</v>
      </c>
      <c r="BE97" s="61">
        <f aca="true" t="shared" si="204" ref="BE97:BL97">V97</f>
        <v>0</v>
      </c>
      <c r="BF97" s="61">
        <f t="shared" si="204"/>
        <v>0</v>
      </c>
      <c r="BG97" s="61">
        <f t="shared" si="204"/>
        <v>0.12712236533957846</v>
      </c>
      <c r="BH97" s="61">
        <f t="shared" si="204"/>
        <v>3.61</v>
      </c>
      <c r="BI97" s="61">
        <f t="shared" si="204"/>
        <v>8.95</v>
      </c>
      <c r="BJ97" s="61">
        <f t="shared" si="204"/>
        <v>2.479224376731302</v>
      </c>
      <c r="BK97" s="61">
        <f t="shared" si="204"/>
        <v>0</v>
      </c>
      <c r="BL97" s="61">
        <f t="shared" si="204"/>
        <v>0</v>
      </c>
      <c r="BM97" s="61">
        <f>AD98</f>
        <v>0</v>
      </c>
      <c r="BN97" s="61">
        <f aca="true" t="shared" si="205" ref="BN97:BQ98">AE97</f>
        <v>172.86886509434498</v>
      </c>
      <c r="BO97" s="61">
        <f t="shared" si="205"/>
        <v>0</v>
      </c>
      <c r="BP97" s="61">
        <f t="shared" si="205"/>
        <v>0.48875165416850463</v>
      </c>
      <c r="BQ97" s="61">
        <f t="shared" si="205"/>
        <v>0.3759741214527275</v>
      </c>
      <c r="BR97" s="65"/>
      <c r="BS97" s="65"/>
      <c r="BT97" s="65"/>
      <c r="BU97" s="180">
        <f aca="true" t="shared" si="206" ref="BU97:BY98">B97</f>
        <v>2015</v>
      </c>
      <c r="BV97" s="180">
        <f t="shared" si="206"/>
        <v>115</v>
      </c>
      <c r="BW97" s="180">
        <f t="shared" si="206"/>
        <v>15</v>
      </c>
      <c r="BX97" s="62">
        <f t="shared" si="206"/>
        <v>88000</v>
      </c>
      <c r="BY97" s="62">
        <f t="shared" si="206"/>
        <v>80800</v>
      </c>
      <c r="BZ97" s="62">
        <f t="shared" si="171"/>
        <v>168.449</v>
      </c>
      <c r="CA97" s="62">
        <f aca="true" t="shared" si="207" ref="CA97:CA102">BY97*BZ97/1000</f>
        <v>13610.6792</v>
      </c>
      <c r="CB97" s="62">
        <f aca="true" t="shared" si="208" ref="CB97:CC99">I97</f>
        <v>1731</v>
      </c>
      <c r="CC97" s="62">
        <f t="shared" si="208"/>
        <v>68</v>
      </c>
      <c r="CD97" s="62">
        <f aca="true" t="shared" si="209" ref="CD97:CD102">CA97+CB97+CC97</f>
        <v>15409.6792</v>
      </c>
      <c r="CE97" s="62">
        <f aca="true" t="shared" si="210" ref="CE97:CK97">L97</f>
        <v>0</v>
      </c>
      <c r="CF97" s="62">
        <f t="shared" si="210"/>
        <v>6648</v>
      </c>
      <c r="CG97" s="62">
        <f t="shared" si="210"/>
        <v>5224</v>
      </c>
      <c r="CH97" s="62">
        <f t="shared" si="210"/>
        <v>5114</v>
      </c>
      <c r="CI97" s="62">
        <f t="shared" si="210"/>
        <v>11763</v>
      </c>
      <c r="CJ97" s="62">
        <f t="shared" si="210"/>
        <v>1901</v>
      </c>
      <c r="CK97" s="62">
        <f t="shared" si="210"/>
        <v>13664</v>
      </c>
      <c r="CL97" s="253">
        <f>'Annual Raw Data'!AZ35</f>
        <v>0</v>
      </c>
      <c r="CM97" s="253">
        <f>'Annual Raw Data'!AZ37</f>
        <v>0</v>
      </c>
      <c r="CN97" s="62">
        <f aca="true" t="shared" si="211" ref="CN97:DA97">U97</f>
        <v>0</v>
      </c>
      <c r="CO97" s="62">
        <f t="shared" si="211"/>
        <v>0</v>
      </c>
      <c r="CP97" s="62">
        <f t="shared" si="211"/>
        <v>0</v>
      </c>
      <c r="CQ97" s="62">
        <f t="shared" si="211"/>
        <v>0.12712236533957846</v>
      </c>
      <c r="CR97" s="62">
        <f t="shared" si="211"/>
        <v>3.61</v>
      </c>
      <c r="CS97" s="62">
        <f t="shared" si="211"/>
        <v>8.95</v>
      </c>
      <c r="CT97" s="62">
        <f t="shared" si="211"/>
        <v>2.479224376731302</v>
      </c>
      <c r="CU97" s="62">
        <f t="shared" si="211"/>
        <v>0</v>
      </c>
      <c r="CV97" s="62">
        <f t="shared" si="211"/>
        <v>0</v>
      </c>
      <c r="CW97" s="62">
        <f t="shared" si="211"/>
        <v>0</v>
      </c>
      <c r="CX97" s="62">
        <f t="shared" si="211"/>
        <v>172.86886509434498</v>
      </c>
      <c r="CY97" s="62">
        <f t="shared" si="211"/>
        <v>0</v>
      </c>
      <c r="CZ97" s="62">
        <f t="shared" si="211"/>
        <v>0.48875165416850463</v>
      </c>
      <c r="DA97" s="62">
        <f t="shared" si="211"/>
        <v>0.3759741214527275</v>
      </c>
    </row>
    <row r="98" spans="2:105" ht="12.75">
      <c r="B98" s="252">
        <v>2016</v>
      </c>
      <c r="C98" s="252">
        <f t="shared" si="190"/>
        <v>116</v>
      </c>
      <c r="D98" s="226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256">
        <f t="shared" si="199"/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 t="shared" si="200"/>
        <v>0.45450723836939416</v>
      </c>
      <c r="AH98" s="67">
        <f t="shared" si="201"/>
        <v>0.361097254013157</v>
      </c>
      <c r="AI98" s="67">
        <f t="shared" si="202"/>
        <v>0.3585887173307987</v>
      </c>
      <c r="AJ98" s="65"/>
      <c r="AK98" s="175">
        <f aca="true" t="shared" si="212" ref="AK98:AO99">B98</f>
        <v>2016</v>
      </c>
      <c r="AL98" s="175">
        <f t="shared" si="212"/>
        <v>116</v>
      </c>
      <c r="AM98" s="175">
        <f t="shared" si="212"/>
        <v>16</v>
      </c>
      <c r="AN98" s="68">
        <f t="shared" si="212"/>
        <v>94000</v>
      </c>
      <c r="AO98" s="68">
        <f t="shared" si="212"/>
        <v>86740</v>
      </c>
      <c r="AP98" s="69">
        <f>'Annual Raw Data'!AT10</f>
        <v>174.64</v>
      </c>
      <c r="AQ98" s="68">
        <f t="shared" si="192"/>
        <v>15148.2736</v>
      </c>
      <c r="AR98" s="68">
        <f t="shared" si="193"/>
        <v>1737</v>
      </c>
      <c r="AS98" s="61">
        <f t="shared" si="193"/>
        <v>57</v>
      </c>
      <c r="AT98" s="68">
        <f t="shared" si="184"/>
        <v>16942.2736</v>
      </c>
      <c r="AU98" s="61">
        <f aca="true" t="shared" si="213" ref="AU98:BA98">L98</f>
        <v>0</v>
      </c>
      <c r="AV98" s="68">
        <f t="shared" si="213"/>
        <v>6885</v>
      </c>
      <c r="AW98" s="68">
        <f t="shared" si="213"/>
        <v>5432</v>
      </c>
      <c r="AX98" s="68">
        <f t="shared" si="213"/>
        <v>5470</v>
      </c>
      <c r="AY98" s="68">
        <f t="shared" si="213"/>
        <v>12355</v>
      </c>
      <c r="AZ98" s="68">
        <f t="shared" si="213"/>
        <v>2294</v>
      </c>
      <c r="BA98" s="68">
        <f t="shared" si="213"/>
        <v>14649</v>
      </c>
      <c r="BB98" s="68">
        <f t="shared" si="195"/>
        <v>2293.2736000000004</v>
      </c>
      <c r="BC98" s="68">
        <f t="shared" si="196"/>
        <v>2293.2736000000004</v>
      </c>
      <c r="BD98" s="61">
        <f t="shared" si="197"/>
        <v>0</v>
      </c>
      <c r="BE98" s="61">
        <f aca="true" t="shared" si="214" ref="BE98:BL98">V98</f>
        <v>0</v>
      </c>
      <c r="BF98" s="61">
        <f t="shared" si="214"/>
        <v>0</v>
      </c>
      <c r="BG98" s="61">
        <f t="shared" si="214"/>
        <v>0.15654813297836032</v>
      </c>
      <c r="BH98" s="61">
        <f t="shared" si="214"/>
        <v>3.36</v>
      </c>
      <c r="BI98" s="61">
        <f t="shared" si="214"/>
        <v>9.47</v>
      </c>
      <c r="BJ98" s="61">
        <f t="shared" si="214"/>
        <v>2.8184523809523814</v>
      </c>
      <c r="BK98" s="61">
        <f t="shared" si="214"/>
        <v>0</v>
      </c>
      <c r="BL98" s="61">
        <f t="shared" si="214"/>
        <v>0</v>
      </c>
      <c r="BM98" s="61">
        <f>AD111</f>
        <v>0</v>
      </c>
      <c r="BN98" s="61">
        <f t="shared" si="205"/>
        <v>175.3204956895388</v>
      </c>
      <c r="BO98" s="61">
        <f t="shared" si="205"/>
        <v>0</v>
      </c>
      <c r="BP98" s="61">
        <f t="shared" si="205"/>
        <v>0.45450723836939416</v>
      </c>
      <c r="BQ98" s="61">
        <f t="shared" si="205"/>
        <v>0.361097254013157</v>
      </c>
      <c r="BR98" s="65"/>
      <c r="BS98" s="65"/>
      <c r="BT98" s="65"/>
      <c r="BU98" s="180">
        <f t="shared" si="206"/>
        <v>2016</v>
      </c>
      <c r="BV98" s="180">
        <f t="shared" si="206"/>
        <v>116</v>
      </c>
      <c r="BW98" s="180">
        <f t="shared" si="206"/>
        <v>16</v>
      </c>
      <c r="BX98" s="62">
        <f t="shared" si="206"/>
        <v>94000</v>
      </c>
      <c r="BY98" s="62">
        <f t="shared" si="206"/>
        <v>86740</v>
      </c>
      <c r="BZ98" s="62">
        <f t="shared" si="171"/>
        <v>174.64</v>
      </c>
      <c r="CA98" s="62">
        <f t="shared" si="207"/>
        <v>15148.2736</v>
      </c>
      <c r="CB98" s="62">
        <f t="shared" si="208"/>
        <v>1737</v>
      </c>
      <c r="CC98" s="62">
        <f t="shared" si="208"/>
        <v>57</v>
      </c>
      <c r="CD98" s="62">
        <f t="shared" si="209"/>
        <v>16942.2736</v>
      </c>
      <c r="CE98" s="62">
        <f aca="true" t="shared" si="215" ref="CE98:CK98">L98</f>
        <v>0</v>
      </c>
      <c r="CF98" s="62">
        <f t="shared" si="215"/>
        <v>6885</v>
      </c>
      <c r="CG98" s="62">
        <f t="shared" si="215"/>
        <v>5432</v>
      </c>
      <c r="CH98" s="62">
        <f t="shared" si="215"/>
        <v>5470</v>
      </c>
      <c r="CI98" s="62">
        <f t="shared" si="215"/>
        <v>12355</v>
      </c>
      <c r="CJ98" s="62">
        <f t="shared" si="215"/>
        <v>2294</v>
      </c>
      <c r="CK98" s="62">
        <f t="shared" si="215"/>
        <v>14649</v>
      </c>
      <c r="CL98" s="253">
        <f>'Annual Raw Data'!AZ36</f>
        <v>0</v>
      </c>
      <c r="CM98" s="253">
        <f>'Annual Raw Data'!AZ38</f>
        <v>0</v>
      </c>
      <c r="CN98" s="62">
        <f aca="true" t="shared" si="216" ref="CN98:DA98">U98</f>
        <v>0</v>
      </c>
      <c r="CO98" s="62">
        <f t="shared" si="216"/>
        <v>0</v>
      </c>
      <c r="CP98" s="62">
        <f t="shared" si="216"/>
        <v>0</v>
      </c>
      <c r="CQ98" s="62">
        <f t="shared" si="216"/>
        <v>0.15654813297836032</v>
      </c>
      <c r="CR98" s="62">
        <f t="shared" si="216"/>
        <v>3.36</v>
      </c>
      <c r="CS98" s="62">
        <f t="shared" si="216"/>
        <v>9.47</v>
      </c>
      <c r="CT98" s="62">
        <f t="shared" si="216"/>
        <v>2.8184523809523814</v>
      </c>
      <c r="CU98" s="62">
        <f t="shared" si="216"/>
        <v>0</v>
      </c>
      <c r="CV98" s="62">
        <f t="shared" si="216"/>
        <v>0</v>
      </c>
      <c r="CW98" s="62">
        <f t="shared" si="216"/>
        <v>0</v>
      </c>
      <c r="CX98" s="62">
        <f t="shared" si="216"/>
        <v>175.3204956895388</v>
      </c>
      <c r="CY98" s="62">
        <f t="shared" si="216"/>
        <v>0</v>
      </c>
      <c r="CZ98" s="62">
        <f t="shared" si="216"/>
        <v>0.45450723836939416</v>
      </c>
      <c r="DA98" s="62">
        <f t="shared" si="216"/>
        <v>0.361097254013157</v>
      </c>
    </row>
    <row r="99" spans="2:105" s="65" customFormat="1" ht="12.75">
      <c r="B99" s="252">
        <v>2017</v>
      </c>
      <c r="C99" s="252">
        <f t="shared" si="190"/>
        <v>117</v>
      </c>
      <c r="D99" s="226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14609</v>
      </c>
      <c r="I99" s="56">
        <f>'Annual Raw Data'!$AU$13</f>
        <v>2293</v>
      </c>
      <c r="J99" s="58">
        <f>'Annual Raw Data'!$AU$14</f>
        <v>36</v>
      </c>
      <c r="K99" s="56">
        <f>'Annual Raw Data'!$AU$15</f>
        <v>16939</v>
      </c>
      <c r="L99" s="58"/>
      <c r="M99" s="56">
        <f>'Annual Raw Data'!$AU$21</f>
        <v>7057</v>
      </c>
      <c r="N99" s="56">
        <f>'Annual Raw Data'!$AU$22</f>
        <v>5605</v>
      </c>
      <c r="O99" s="56">
        <f>'Annual Raw Data'!$AU$25</f>
        <v>5304</v>
      </c>
      <c r="P99" s="56">
        <f>'Annual Raw Data'!$AU$26</f>
        <v>12361</v>
      </c>
      <c r="Q99" s="56">
        <f>'Annual Raw Data'!$AU$29</f>
        <v>2438</v>
      </c>
      <c r="R99" s="56">
        <f>'Annual Raw Data'!$AU$31</f>
        <v>14798</v>
      </c>
      <c r="S99" s="56">
        <f>'Annual Raw Data'!$AU$34</f>
        <v>2140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0.1446141370455467</v>
      </c>
      <c r="Y99" s="60">
        <f>'Annual Raw Data'!$AU$43</f>
        <v>3.36</v>
      </c>
      <c r="Z99" s="60">
        <v>9.33</v>
      </c>
      <c r="AA99" s="256">
        <f t="shared" si="199"/>
        <v>2.7767857142857144</v>
      </c>
      <c r="AE99" s="57">
        <f t="shared" si="160"/>
        <v>177.77212628473262</v>
      </c>
      <c r="AG99" s="66">
        <f t="shared" si="200"/>
        <v>0.4830583886645219</v>
      </c>
      <c r="AH99" s="67">
        <f t="shared" si="201"/>
        <v>0.3630638647409131</v>
      </c>
      <c r="AI99" s="67">
        <f t="shared" si="202"/>
        <v>0.3836676021630502</v>
      </c>
      <c r="AK99" s="175">
        <f t="shared" si="212"/>
        <v>2017</v>
      </c>
      <c r="AL99" s="175">
        <f t="shared" si="212"/>
        <v>117</v>
      </c>
      <c r="AM99" s="175">
        <f t="shared" si="212"/>
        <v>17</v>
      </c>
      <c r="AN99" s="68">
        <f t="shared" si="212"/>
        <v>90200</v>
      </c>
      <c r="AO99" s="68">
        <f t="shared" si="212"/>
        <v>82700</v>
      </c>
      <c r="AP99" s="69">
        <f>'Annual Raw Data'!AU10</f>
        <v>176.6</v>
      </c>
      <c r="AQ99" s="68">
        <f t="shared" si="192"/>
        <v>14604.82</v>
      </c>
      <c r="AR99" s="68">
        <f aca="true" t="shared" si="217" ref="AR99:BA99">I99</f>
        <v>2293</v>
      </c>
      <c r="AS99" s="61">
        <f t="shared" si="217"/>
        <v>36</v>
      </c>
      <c r="AT99" s="68">
        <f t="shared" si="217"/>
        <v>16939</v>
      </c>
      <c r="AU99" s="61">
        <f t="shared" si="217"/>
        <v>0</v>
      </c>
      <c r="AV99" s="68">
        <f t="shared" si="217"/>
        <v>7057</v>
      </c>
      <c r="AW99" s="68">
        <f t="shared" si="217"/>
        <v>5605</v>
      </c>
      <c r="AX99" s="68">
        <f t="shared" si="217"/>
        <v>5304</v>
      </c>
      <c r="AY99" s="68">
        <f t="shared" si="217"/>
        <v>12361</v>
      </c>
      <c r="AZ99" s="68">
        <f t="shared" si="217"/>
        <v>2438</v>
      </c>
      <c r="BA99" s="68">
        <f t="shared" si="217"/>
        <v>14798</v>
      </c>
      <c r="BB99" s="68">
        <f t="shared" si="195"/>
        <v>2140</v>
      </c>
      <c r="BC99" s="68">
        <f t="shared" si="196"/>
        <v>2140</v>
      </c>
      <c r="BD99" s="61">
        <f t="shared" si="197"/>
        <v>0</v>
      </c>
      <c r="BE99" s="61">
        <f aca="true" t="shared" si="218" ref="BE99:BL99">V99</f>
        <v>0</v>
      </c>
      <c r="BF99" s="61">
        <f t="shared" si="218"/>
        <v>0</v>
      </c>
      <c r="BG99" s="61">
        <f t="shared" si="218"/>
        <v>0.1446141370455467</v>
      </c>
      <c r="BH99" s="61">
        <f t="shared" si="218"/>
        <v>3.36</v>
      </c>
      <c r="BI99" s="61">
        <f t="shared" si="218"/>
        <v>9.33</v>
      </c>
      <c r="BJ99" s="61">
        <f t="shared" si="218"/>
        <v>2.7767857142857144</v>
      </c>
      <c r="BK99" s="61">
        <f t="shared" si="218"/>
        <v>0</v>
      </c>
      <c r="BL99" s="61">
        <f t="shared" si="218"/>
        <v>0</v>
      </c>
      <c r="BM99" s="61">
        <f>AD112</f>
        <v>0</v>
      </c>
      <c r="BN99" s="61">
        <f aca="true" t="shared" si="219" ref="BN99:BQ100">AE99</f>
        <v>177.77212628473262</v>
      </c>
      <c r="BO99" s="61">
        <f t="shared" si="219"/>
        <v>0</v>
      </c>
      <c r="BP99" s="61">
        <f t="shared" si="219"/>
        <v>0.4830583886645219</v>
      </c>
      <c r="BQ99" s="61">
        <f t="shared" si="219"/>
        <v>0.3630638647409131</v>
      </c>
      <c r="BU99" s="180">
        <f aca="true" t="shared" si="220" ref="BU99:BY100">B99</f>
        <v>2017</v>
      </c>
      <c r="BV99" s="180">
        <f t="shared" si="220"/>
        <v>117</v>
      </c>
      <c r="BW99" s="180">
        <f t="shared" si="220"/>
        <v>17</v>
      </c>
      <c r="BX99" s="62">
        <f t="shared" si="220"/>
        <v>90200</v>
      </c>
      <c r="BY99" s="62">
        <f t="shared" si="220"/>
        <v>82700</v>
      </c>
      <c r="BZ99" s="62">
        <f>'Annual Raw Data'!AU10</f>
        <v>176.6</v>
      </c>
      <c r="CA99" s="62">
        <f t="shared" si="207"/>
        <v>14604.82</v>
      </c>
      <c r="CB99" s="62">
        <f t="shared" si="208"/>
        <v>2293</v>
      </c>
      <c r="CC99" s="62">
        <f t="shared" si="208"/>
        <v>36</v>
      </c>
      <c r="CD99" s="62">
        <f t="shared" si="209"/>
        <v>16933.82</v>
      </c>
      <c r="CE99" s="62">
        <f aca="true" t="shared" si="221" ref="CE99:CK99">L99</f>
        <v>0</v>
      </c>
      <c r="CF99" s="62">
        <f t="shared" si="221"/>
        <v>7057</v>
      </c>
      <c r="CG99" s="62">
        <f t="shared" si="221"/>
        <v>5605</v>
      </c>
      <c r="CH99" s="62">
        <f t="shared" si="221"/>
        <v>5304</v>
      </c>
      <c r="CI99" s="62">
        <f t="shared" si="221"/>
        <v>12361</v>
      </c>
      <c r="CJ99" s="62">
        <f t="shared" si="221"/>
        <v>2438</v>
      </c>
      <c r="CK99" s="62">
        <f t="shared" si="221"/>
        <v>14798</v>
      </c>
      <c r="CL99" s="253">
        <f>'Annual Raw Data'!AZ37</f>
        <v>0</v>
      </c>
      <c r="CM99" s="253">
        <f>'Annual Raw Data'!AZ39</f>
        <v>0</v>
      </c>
      <c r="CN99" s="62">
        <f aca="true" t="shared" si="222" ref="CN99:DA99">U99</f>
        <v>0</v>
      </c>
      <c r="CO99" s="62">
        <f t="shared" si="222"/>
        <v>0</v>
      </c>
      <c r="CP99" s="62">
        <f t="shared" si="222"/>
        <v>0</v>
      </c>
      <c r="CQ99" s="62">
        <f t="shared" si="222"/>
        <v>0.1446141370455467</v>
      </c>
      <c r="CR99" s="62">
        <f t="shared" si="222"/>
        <v>3.36</v>
      </c>
      <c r="CS99" s="62">
        <f t="shared" si="222"/>
        <v>9.33</v>
      </c>
      <c r="CT99" s="62">
        <f t="shared" si="222"/>
        <v>2.7767857142857144</v>
      </c>
      <c r="CU99" s="62">
        <f t="shared" si="222"/>
        <v>0</v>
      </c>
      <c r="CV99" s="62">
        <f t="shared" si="222"/>
        <v>0</v>
      </c>
      <c r="CW99" s="62">
        <f t="shared" si="222"/>
        <v>0</v>
      </c>
      <c r="CX99" s="62">
        <f t="shared" si="222"/>
        <v>177.77212628473262</v>
      </c>
      <c r="CY99" s="62">
        <f t="shared" si="222"/>
        <v>0</v>
      </c>
      <c r="CZ99" s="62">
        <f t="shared" si="222"/>
        <v>0.4830583886645219</v>
      </c>
      <c r="DA99" s="62">
        <f t="shared" si="222"/>
        <v>0.3630638647409131</v>
      </c>
    </row>
    <row r="100" spans="2:105" s="65" customFormat="1" ht="12.75">
      <c r="B100" s="252">
        <v>2018</v>
      </c>
      <c r="C100" s="252">
        <f t="shared" si="190"/>
        <v>118</v>
      </c>
      <c r="D100" s="226">
        <v>18</v>
      </c>
      <c r="E100" s="56">
        <f>'Annual Raw Data'!$AV$8*1000</f>
        <v>88900</v>
      </c>
      <c r="F100" s="56">
        <f>'Annual Raw Data'!$AV$9*1000</f>
        <v>81300</v>
      </c>
      <c r="G100" s="57">
        <f>'Annual Raw Data'!$AV$10</f>
        <v>176.4</v>
      </c>
      <c r="H100" s="56">
        <f>'Annual Raw Data'!$AV$12</f>
        <v>14340</v>
      </c>
      <c r="I100" s="56">
        <f>'Annual Raw Data'!$AV$13</f>
        <v>2140</v>
      </c>
      <c r="J100" s="58">
        <f>'Annual Raw Data'!$AV$14</f>
        <v>28</v>
      </c>
      <c r="K100" s="56">
        <f>'Annual Raw Data'!$AV$15</f>
        <v>16509</v>
      </c>
      <c r="L100" s="58"/>
      <c r="M100" s="56">
        <f>'Annual Raw Data'!$AV$21</f>
        <v>6793</v>
      </c>
      <c r="N100" s="56">
        <f>'Annual Raw Data'!$AV$22</f>
        <v>5378</v>
      </c>
      <c r="O100" s="56">
        <f>'Annual Raw Data'!$AV$25</f>
        <v>5429</v>
      </c>
      <c r="P100" s="56">
        <f>'Annual Raw Data'!$AV$26</f>
        <v>12222</v>
      </c>
      <c r="Q100" s="56">
        <f>'Annual Raw Data'!$AV$29</f>
        <v>2066</v>
      </c>
      <c r="R100" s="56">
        <f>'Annual Raw Data'!$AV$31</f>
        <v>14288</v>
      </c>
      <c r="S100" s="56">
        <f>'Annual Raw Data'!$AV$34</f>
        <v>2221</v>
      </c>
      <c r="T100" s="56">
        <f>'Annual Raw Data'!$AV$36</f>
        <v>0</v>
      </c>
      <c r="U100" s="63">
        <f>'Annual Raw Data'!$AV$37</f>
        <v>0</v>
      </c>
      <c r="V100" s="63">
        <f>'Annual Raw Data'!$AV$38</f>
        <v>0</v>
      </c>
      <c r="W100" s="58">
        <f>'Annual Raw Data'!$AV$39</f>
        <v>0</v>
      </c>
      <c r="X100" s="59">
        <f>'Annual Raw Data'!$AV$41</f>
        <v>0.1554451287793953</v>
      </c>
      <c r="Y100" s="60">
        <f>'Annual Raw Data'!$AV$43</f>
        <v>3.61</v>
      </c>
      <c r="Z100" s="60">
        <v>8.55</v>
      </c>
      <c r="AA100" s="256">
        <f t="shared" si="199"/>
        <v>2.368421052631579</v>
      </c>
      <c r="AE100" s="57">
        <f t="shared" si="160"/>
        <v>180.22375687992644</v>
      </c>
      <c r="AG100" s="66">
        <f t="shared" si="200"/>
        <v>0.47370990237099025</v>
      </c>
      <c r="AH100" s="67">
        <f t="shared" si="201"/>
        <v>0.3785913528591353</v>
      </c>
      <c r="AI100" s="67">
        <f t="shared" si="202"/>
        <v>0.37503486750348675</v>
      </c>
      <c r="AK100" s="175">
        <f aca="true" t="shared" si="223" ref="AK100:AO101">B100</f>
        <v>2018</v>
      </c>
      <c r="AL100" s="175">
        <f t="shared" si="223"/>
        <v>118</v>
      </c>
      <c r="AM100" s="175">
        <f t="shared" si="223"/>
        <v>18</v>
      </c>
      <c r="AN100" s="68">
        <f t="shared" si="223"/>
        <v>88900</v>
      </c>
      <c r="AO100" s="68">
        <f t="shared" si="223"/>
        <v>81300</v>
      </c>
      <c r="AP100" s="69">
        <f>'Annual Raw Data'!AV10</f>
        <v>176.4</v>
      </c>
      <c r="AQ100" s="68">
        <f t="shared" si="192"/>
        <v>14341.32</v>
      </c>
      <c r="AR100" s="68">
        <f aca="true" t="shared" si="224" ref="AR100:BA100">I100</f>
        <v>2140</v>
      </c>
      <c r="AS100" s="61">
        <f t="shared" si="224"/>
        <v>28</v>
      </c>
      <c r="AT100" s="68">
        <f t="shared" si="224"/>
        <v>16509</v>
      </c>
      <c r="AU100" s="61">
        <f t="shared" si="224"/>
        <v>0</v>
      </c>
      <c r="AV100" s="68">
        <f t="shared" si="224"/>
        <v>6793</v>
      </c>
      <c r="AW100" s="68">
        <f t="shared" si="224"/>
        <v>5378</v>
      </c>
      <c r="AX100" s="68">
        <f t="shared" si="224"/>
        <v>5429</v>
      </c>
      <c r="AY100" s="68">
        <f t="shared" si="224"/>
        <v>12222</v>
      </c>
      <c r="AZ100" s="68">
        <f t="shared" si="224"/>
        <v>2066</v>
      </c>
      <c r="BA100" s="68">
        <f t="shared" si="224"/>
        <v>14288</v>
      </c>
      <c r="BB100" s="68">
        <f t="shared" si="195"/>
        <v>2221</v>
      </c>
      <c r="BC100" s="68">
        <f t="shared" si="196"/>
        <v>2221</v>
      </c>
      <c r="BD100" s="61">
        <f t="shared" si="197"/>
        <v>0</v>
      </c>
      <c r="BE100" s="61">
        <f aca="true" t="shared" si="225" ref="BE100:BL100">V100</f>
        <v>0</v>
      </c>
      <c r="BF100" s="61">
        <f t="shared" si="225"/>
        <v>0</v>
      </c>
      <c r="BG100" s="61">
        <f t="shared" si="225"/>
        <v>0.1554451287793953</v>
      </c>
      <c r="BH100" s="61">
        <f t="shared" si="225"/>
        <v>3.61</v>
      </c>
      <c r="BI100" s="61">
        <f t="shared" si="225"/>
        <v>8.55</v>
      </c>
      <c r="BJ100" s="61">
        <f t="shared" si="225"/>
        <v>2.368421052631579</v>
      </c>
      <c r="BK100" s="61">
        <f t="shared" si="225"/>
        <v>0</v>
      </c>
      <c r="BL100" s="61">
        <f t="shared" si="225"/>
        <v>0</v>
      </c>
      <c r="BM100" s="61">
        <f>AD113</f>
        <v>0</v>
      </c>
      <c r="BN100" s="61">
        <f t="shared" si="219"/>
        <v>180.22375687992644</v>
      </c>
      <c r="BO100" s="61">
        <f t="shared" si="219"/>
        <v>0</v>
      </c>
      <c r="BP100" s="61">
        <f t="shared" si="219"/>
        <v>0.47370990237099025</v>
      </c>
      <c r="BQ100" s="61">
        <f t="shared" si="219"/>
        <v>0.3785913528591353</v>
      </c>
      <c r="BU100" s="180">
        <f t="shared" si="220"/>
        <v>2018</v>
      </c>
      <c r="BV100" s="180">
        <f t="shared" si="220"/>
        <v>118</v>
      </c>
      <c r="BW100" s="180">
        <f t="shared" si="220"/>
        <v>18</v>
      </c>
      <c r="BX100" s="62">
        <f t="shared" si="220"/>
        <v>88900</v>
      </c>
      <c r="BY100" s="62">
        <f t="shared" si="220"/>
        <v>81300</v>
      </c>
      <c r="BZ100" s="62">
        <f>'Annual Raw Data'!AV10</f>
        <v>176.4</v>
      </c>
      <c r="CA100" s="62">
        <f t="shared" si="207"/>
        <v>14341.32</v>
      </c>
      <c r="CB100" s="62">
        <f aca="true" t="shared" si="226" ref="CB100:CC102">I100</f>
        <v>2140</v>
      </c>
      <c r="CC100" s="62">
        <f t="shared" si="226"/>
        <v>28</v>
      </c>
      <c r="CD100" s="62">
        <f t="shared" si="209"/>
        <v>16509.32</v>
      </c>
      <c r="CE100" s="62">
        <f aca="true" t="shared" si="227" ref="CE100:CK100">L100</f>
        <v>0</v>
      </c>
      <c r="CF100" s="62">
        <f t="shared" si="227"/>
        <v>6793</v>
      </c>
      <c r="CG100" s="62">
        <f t="shared" si="227"/>
        <v>5378</v>
      </c>
      <c r="CH100" s="62">
        <f t="shared" si="227"/>
        <v>5429</v>
      </c>
      <c r="CI100" s="62">
        <f t="shared" si="227"/>
        <v>12222</v>
      </c>
      <c r="CJ100" s="62">
        <f t="shared" si="227"/>
        <v>2066</v>
      </c>
      <c r="CK100" s="62">
        <f t="shared" si="227"/>
        <v>14288</v>
      </c>
      <c r="CL100" s="253">
        <f>'Annual Raw Data'!AZ38</f>
        <v>0</v>
      </c>
      <c r="CM100" s="253">
        <f>'Annual Raw Data'!AZ40</f>
        <v>0</v>
      </c>
      <c r="CN100" s="62">
        <f aca="true" t="shared" si="228" ref="CN100:DA100">U100</f>
        <v>0</v>
      </c>
      <c r="CO100" s="62">
        <f t="shared" si="228"/>
        <v>0</v>
      </c>
      <c r="CP100" s="62">
        <f t="shared" si="228"/>
        <v>0</v>
      </c>
      <c r="CQ100" s="62">
        <f t="shared" si="228"/>
        <v>0.1554451287793953</v>
      </c>
      <c r="CR100" s="62">
        <f t="shared" si="228"/>
        <v>3.61</v>
      </c>
      <c r="CS100" s="62">
        <f t="shared" si="228"/>
        <v>8.55</v>
      </c>
      <c r="CT100" s="62">
        <f t="shared" si="228"/>
        <v>2.368421052631579</v>
      </c>
      <c r="CU100" s="62">
        <f t="shared" si="228"/>
        <v>0</v>
      </c>
      <c r="CV100" s="62">
        <f t="shared" si="228"/>
        <v>0</v>
      </c>
      <c r="CW100" s="62">
        <f t="shared" si="228"/>
        <v>0</v>
      </c>
      <c r="CX100" s="62">
        <f t="shared" si="228"/>
        <v>180.22375687992644</v>
      </c>
      <c r="CY100" s="62">
        <f t="shared" si="228"/>
        <v>0</v>
      </c>
      <c r="CZ100" s="62">
        <f t="shared" si="228"/>
        <v>0.47370990237099025</v>
      </c>
      <c r="DA100" s="62">
        <f t="shared" si="228"/>
        <v>0.3785913528591353</v>
      </c>
    </row>
    <row r="101" spans="2:105" s="65" customFormat="1" ht="12.75">
      <c r="B101" s="252">
        <v>2019</v>
      </c>
      <c r="C101" s="252">
        <f t="shared" si="190"/>
        <v>119</v>
      </c>
      <c r="D101" s="226">
        <v>19</v>
      </c>
      <c r="E101" s="56">
        <f>'Annual Raw Data'!$AW$8*1000</f>
        <v>89700</v>
      </c>
      <c r="F101" s="56">
        <f>'Annual Raw Data'!$AW$9*1000</f>
        <v>81300</v>
      </c>
      <c r="G101" s="57">
        <f>'Annual Raw Data'!$AW$10</f>
        <v>167.5</v>
      </c>
      <c r="H101" s="56">
        <f>'Annual Raw Data'!$AW$12</f>
        <v>13620</v>
      </c>
      <c r="I101" s="56">
        <f>'Annual Raw Data'!$AW$13</f>
        <v>2221</v>
      </c>
      <c r="J101" s="58">
        <f>'Annual Raw Data'!$AW$14</f>
        <v>42</v>
      </c>
      <c r="K101" s="56">
        <f>'Annual Raw Data'!$AW$15</f>
        <v>15883</v>
      </c>
      <c r="L101" s="58"/>
      <c r="M101" s="56">
        <f>'Annual Raw Data'!$AW$21</f>
        <v>6282</v>
      </c>
      <c r="N101" s="56">
        <f>'Annual Raw Data'!$AW$22</f>
        <v>4852</v>
      </c>
      <c r="O101" s="56">
        <f>'Annual Raw Data'!$AW$25</f>
        <v>5903</v>
      </c>
      <c r="P101" s="56">
        <f>'Annual Raw Data'!$AW$26</f>
        <v>12185</v>
      </c>
      <c r="Q101" s="56">
        <f>'Annual Raw Data'!$AW$29</f>
        <v>1778</v>
      </c>
      <c r="R101" s="56">
        <f>'Annual Raw Data'!$AW$31</f>
        <v>13963</v>
      </c>
      <c r="S101" s="56">
        <f>'Annual Raw Data'!$AW$34</f>
        <v>1919</v>
      </c>
      <c r="T101" s="56">
        <f>'Annual Raw Data'!$AW$36</f>
        <v>0</v>
      </c>
      <c r="U101" s="63">
        <f>'Annual Raw Data'!$AW$37</f>
        <v>0</v>
      </c>
      <c r="V101" s="63">
        <f>'Annual Raw Data'!$AW$38</f>
        <v>0</v>
      </c>
      <c r="W101" s="58">
        <f>'Annual Raw Data'!$AW$39</f>
        <v>0</v>
      </c>
      <c r="X101" s="59">
        <f>'Annual Raw Data'!$AW$41</f>
        <v>0.13743464871445965</v>
      </c>
      <c r="Y101" s="60">
        <f>'Annual Raw Data'!$AW$43</f>
        <v>3.56</v>
      </c>
      <c r="Z101" s="60">
        <v>8.1</v>
      </c>
      <c r="AA101" s="256">
        <f t="shared" si="199"/>
        <v>2.2752808988764044</v>
      </c>
      <c r="AE101" s="57">
        <f t="shared" si="160"/>
        <v>182.67538747512026</v>
      </c>
      <c r="AG101" s="66">
        <f t="shared" si="200"/>
        <v>0.46123348017621146</v>
      </c>
      <c r="AH101" s="67">
        <f t="shared" si="201"/>
        <v>0.43340675477239354</v>
      </c>
      <c r="AI101" s="67">
        <f t="shared" si="202"/>
        <v>0.3562408223201175</v>
      </c>
      <c r="AK101" s="175">
        <f t="shared" si="223"/>
        <v>2019</v>
      </c>
      <c r="AL101" s="175">
        <f t="shared" si="223"/>
        <v>119</v>
      </c>
      <c r="AM101" s="175">
        <f t="shared" si="223"/>
        <v>19</v>
      </c>
      <c r="AN101" s="68">
        <f t="shared" si="223"/>
        <v>89700</v>
      </c>
      <c r="AO101" s="68">
        <f t="shared" si="223"/>
        <v>81300</v>
      </c>
      <c r="AP101" s="69">
        <f>'Annual Raw Data'!AW10</f>
        <v>167.5</v>
      </c>
      <c r="AQ101" s="68">
        <f t="shared" si="192"/>
        <v>13617.75</v>
      </c>
      <c r="AR101" s="68">
        <f aca="true" t="shared" si="229" ref="AR101:BA101">I101</f>
        <v>2221</v>
      </c>
      <c r="AS101" s="61">
        <f t="shared" si="229"/>
        <v>42</v>
      </c>
      <c r="AT101" s="68">
        <f t="shared" si="229"/>
        <v>15883</v>
      </c>
      <c r="AU101" s="61">
        <f t="shared" si="229"/>
        <v>0</v>
      </c>
      <c r="AV101" s="68">
        <f t="shared" si="229"/>
        <v>6282</v>
      </c>
      <c r="AW101" s="68">
        <f t="shared" si="229"/>
        <v>4852</v>
      </c>
      <c r="AX101" s="68">
        <f t="shared" si="229"/>
        <v>5903</v>
      </c>
      <c r="AY101" s="68">
        <f t="shared" si="229"/>
        <v>12185</v>
      </c>
      <c r="AZ101" s="68">
        <f t="shared" si="229"/>
        <v>1778</v>
      </c>
      <c r="BA101" s="68">
        <f t="shared" si="229"/>
        <v>13963</v>
      </c>
      <c r="BB101" s="68">
        <f t="shared" si="195"/>
        <v>1919</v>
      </c>
      <c r="BC101" s="68">
        <f t="shared" si="196"/>
        <v>1919</v>
      </c>
      <c r="BD101" s="61">
        <f t="shared" si="197"/>
        <v>0</v>
      </c>
      <c r="BE101" s="61">
        <f aca="true" t="shared" si="230" ref="BE101:BL101">V101</f>
        <v>0</v>
      </c>
      <c r="BF101" s="61">
        <f t="shared" si="230"/>
        <v>0</v>
      </c>
      <c r="BG101" s="61">
        <f t="shared" si="230"/>
        <v>0.13743464871445965</v>
      </c>
      <c r="BH101" s="61">
        <f t="shared" si="230"/>
        <v>3.56</v>
      </c>
      <c r="BI101" s="61">
        <f t="shared" si="230"/>
        <v>8.1</v>
      </c>
      <c r="BJ101" s="61">
        <f t="shared" si="230"/>
        <v>2.2752808988764044</v>
      </c>
      <c r="BK101" s="61">
        <f t="shared" si="230"/>
        <v>0</v>
      </c>
      <c r="BL101" s="61">
        <f t="shared" si="230"/>
        <v>0</v>
      </c>
      <c r="BM101" s="61">
        <f>AD114</f>
        <v>0</v>
      </c>
      <c r="BN101" s="61">
        <f aca="true" t="shared" si="231" ref="BN101:BQ102">AE101</f>
        <v>182.67538747512026</v>
      </c>
      <c r="BO101" s="61">
        <f t="shared" si="231"/>
        <v>0</v>
      </c>
      <c r="BP101" s="61">
        <f t="shared" si="231"/>
        <v>0.46123348017621146</v>
      </c>
      <c r="BQ101" s="61">
        <f t="shared" si="231"/>
        <v>0.43340675477239354</v>
      </c>
      <c r="BU101" s="180">
        <f aca="true" t="shared" si="232" ref="BU101:BY102">B101</f>
        <v>2019</v>
      </c>
      <c r="BV101" s="180">
        <f t="shared" si="232"/>
        <v>119</v>
      </c>
      <c r="BW101" s="180">
        <f t="shared" si="232"/>
        <v>19</v>
      </c>
      <c r="BX101" s="62">
        <f t="shared" si="232"/>
        <v>89700</v>
      </c>
      <c r="BY101" s="62">
        <f t="shared" si="232"/>
        <v>81300</v>
      </c>
      <c r="BZ101" s="62">
        <f>'Annual Raw Data'!AW10</f>
        <v>167.5</v>
      </c>
      <c r="CA101" s="62">
        <f t="shared" si="207"/>
        <v>13617.75</v>
      </c>
      <c r="CB101" s="62">
        <f t="shared" si="226"/>
        <v>2221</v>
      </c>
      <c r="CC101" s="62">
        <f t="shared" si="226"/>
        <v>42</v>
      </c>
      <c r="CD101" s="62">
        <f t="shared" si="209"/>
        <v>15880.75</v>
      </c>
      <c r="CE101" s="62">
        <f aca="true" t="shared" si="233" ref="CE101:CK101">L101</f>
        <v>0</v>
      </c>
      <c r="CF101" s="62">
        <f t="shared" si="233"/>
        <v>6282</v>
      </c>
      <c r="CG101" s="62">
        <f t="shared" si="233"/>
        <v>4852</v>
      </c>
      <c r="CH101" s="62">
        <f t="shared" si="233"/>
        <v>5903</v>
      </c>
      <c r="CI101" s="62">
        <f t="shared" si="233"/>
        <v>12185</v>
      </c>
      <c r="CJ101" s="62">
        <f t="shared" si="233"/>
        <v>1778</v>
      </c>
      <c r="CK101" s="62">
        <f t="shared" si="233"/>
        <v>13963</v>
      </c>
      <c r="CL101" s="253">
        <f>'Annual Raw Data'!AZ39</f>
        <v>0</v>
      </c>
      <c r="CM101" s="253">
        <f>'Annual Raw Data'!AZ41</f>
        <v>0.12912820512820514</v>
      </c>
      <c r="CN101" s="62">
        <f aca="true" t="shared" si="234" ref="CN101:DA101">U101</f>
        <v>0</v>
      </c>
      <c r="CO101" s="62">
        <f t="shared" si="234"/>
        <v>0</v>
      </c>
      <c r="CP101" s="62">
        <f t="shared" si="234"/>
        <v>0</v>
      </c>
      <c r="CQ101" s="62">
        <f t="shared" si="234"/>
        <v>0.13743464871445965</v>
      </c>
      <c r="CR101" s="62">
        <f t="shared" si="234"/>
        <v>3.56</v>
      </c>
      <c r="CS101" s="62">
        <f t="shared" si="234"/>
        <v>8.1</v>
      </c>
      <c r="CT101" s="62">
        <f t="shared" si="234"/>
        <v>2.2752808988764044</v>
      </c>
      <c r="CU101" s="62">
        <f t="shared" si="234"/>
        <v>0</v>
      </c>
      <c r="CV101" s="62">
        <f t="shared" si="234"/>
        <v>0</v>
      </c>
      <c r="CW101" s="62">
        <f t="shared" si="234"/>
        <v>0</v>
      </c>
      <c r="CX101" s="62">
        <f t="shared" si="234"/>
        <v>182.67538747512026</v>
      </c>
      <c r="CY101" s="62">
        <f t="shared" si="234"/>
        <v>0</v>
      </c>
      <c r="CZ101" s="62">
        <f t="shared" si="234"/>
        <v>0.46123348017621146</v>
      </c>
      <c r="DA101" s="62">
        <f t="shared" si="234"/>
        <v>0.43340675477239354</v>
      </c>
    </row>
    <row r="102" spans="2:105" s="65" customFormat="1" ht="12.75">
      <c r="B102" s="247">
        <v>2020</v>
      </c>
      <c r="C102" s="247">
        <f t="shared" si="190"/>
        <v>120</v>
      </c>
      <c r="D102" s="239">
        <v>20</v>
      </c>
      <c r="E102" s="229">
        <f>'Annual Raw Data'!$AX$8*1000</f>
        <v>90800</v>
      </c>
      <c r="F102" s="229">
        <f>'Annual Raw Data'!$AX$9*1000</f>
        <v>82500</v>
      </c>
      <c r="G102" s="230">
        <f>'Annual Raw Data'!$AX$10</f>
        <v>172</v>
      </c>
      <c r="H102" s="229">
        <f>'Annual Raw Data'!$AX$12</f>
        <v>14182</v>
      </c>
      <c r="I102" s="229">
        <f>'Annual Raw Data'!$AX$13</f>
        <v>1919</v>
      </c>
      <c r="J102" s="231">
        <f>'Annual Raw Data'!$AX$14</f>
        <v>25</v>
      </c>
      <c r="K102" s="229">
        <f>'Annual Raw Data'!$AX$15</f>
        <v>16127</v>
      </c>
      <c r="L102" s="231"/>
      <c r="M102" s="229">
        <f>'Annual Raw Data'!$AX$21</f>
        <v>6375</v>
      </c>
      <c r="N102" s="229">
        <f>'Annual Raw Data'!$AX$22</f>
        <v>4950</v>
      </c>
      <c r="O102" s="229">
        <f>'Annual Raw Data'!$AX$25</f>
        <v>5650</v>
      </c>
      <c r="P102" s="229">
        <f>'Annual Raw Data'!$AX$26</f>
        <v>12025</v>
      </c>
      <c r="Q102" s="229">
        <f>'Annual Raw Data'!$AX$29</f>
        <v>2600</v>
      </c>
      <c r="R102" s="229">
        <f>'Annual Raw Data'!$AX$31</f>
        <v>14625</v>
      </c>
      <c r="S102" s="229">
        <f>'Annual Raw Data'!$AX$34</f>
        <v>1502</v>
      </c>
      <c r="T102" s="229">
        <f>'Annual Raw Data'!$AX$36</f>
        <v>0</v>
      </c>
      <c r="U102" s="232">
        <f>'Annual Raw Data'!$AX$37</f>
        <v>0</v>
      </c>
      <c r="V102" s="232">
        <f>'Annual Raw Data'!$AX$38</f>
        <v>0</v>
      </c>
      <c r="W102" s="231">
        <f>'Annual Raw Data'!$AX$39</f>
        <v>0</v>
      </c>
      <c r="X102" s="233">
        <f>'Annual Raw Data'!$AX$41</f>
        <v>0.1027008547008547</v>
      </c>
      <c r="Y102" s="234">
        <f>'Annual Raw Data'!$AX$43</f>
        <v>4.3</v>
      </c>
      <c r="Z102" s="234">
        <v>8.1</v>
      </c>
      <c r="AA102" s="257">
        <f t="shared" si="199"/>
        <v>1.8837209302325582</v>
      </c>
      <c r="AB102" s="235"/>
      <c r="AC102" s="235"/>
      <c r="AD102" s="235"/>
      <c r="AE102" s="230">
        <f t="shared" si="160"/>
        <v>185.12701807031408</v>
      </c>
      <c r="AF102" s="235"/>
      <c r="AG102" s="236">
        <f t="shared" si="200"/>
        <v>0.44951346777605417</v>
      </c>
      <c r="AH102" s="237">
        <f t="shared" si="201"/>
        <v>0.3983923283034833</v>
      </c>
      <c r="AI102" s="237">
        <f t="shared" si="202"/>
        <v>0.3490339867437597</v>
      </c>
      <c r="AJ102" s="240"/>
      <c r="AK102" s="241">
        <f>B102</f>
        <v>2020</v>
      </c>
      <c r="AL102" s="241">
        <f>C102</f>
        <v>120</v>
      </c>
      <c r="AM102" s="241">
        <f>D102</f>
        <v>20</v>
      </c>
      <c r="AN102" s="242">
        <f>E102</f>
        <v>90800</v>
      </c>
      <c r="AO102" s="242">
        <f>F102</f>
        <v>82500</v>
      </c>
      <c r="AP102" s="243">
        <f>'Annual Raw Data'!AY10</f>
        <v>123.11</v>
      </c>
      <c r="AQ102" s="242">
        <f>AO102*AP102/1000</f>
        <v>10156.575</v>
      </c>
      <c r="AR102" s="242">
        <f aca="true" t="shared" si="235" ref="AR102:BB102">I102</f>
        <v>1919</v>
      </c>
      <c r="AS102" s="244">
        <f t="shared" si="235"/>
        <v>25</v>
      </c>
      <c r="AT102" s="242">
        <f t="shared" si="235"/>
        <v>16127</v>
      </c>
      <c r="AU102" s="244">
        <f t="shared" si="235"/>
        <v>0</v>
      </c>
      <c r="AV102" s="242">
        <f t="shared" si="235"/>
        <v>6375</v>
      </c>
      <c r="AW102" s="242">
        <f t="shared" si="235"/>
        <v>4950</v>
      </c>
      <c r="AX102" s="242">
        <f t="shared" si="235"/>
        <v>5650</v>
      </c>
      <c r="AY102" s="242">
        <f t="shared" si="235"/>
        <v>12025</v>
      </c>
      <c r="AZ102" s="242">
        <f t="shared" si="235"/>
        <v>2600</v>
      </c>
      <c r="BA102" s="242">
        <f t="shared" si="235"/>
        <v>14625</v>
      </c>
      <c r="BB102" s="242">
        <f t="shared" si="235"/>
        <v>1502</v>
      </c>
      <c r="BC102" s="242">
        <f>BB102</f>
        <v>1502</v>
      </c>
      <c r="BD102" s="244">
        <f aca="true" t="shared" si="236" ref="BD102:BL102">U102</f>
        <v>0</v>
      </c>
      <c r="BE102" s="244">
        <f t="shared" si="236"/>
        <v>0</v>
      </c>
      <c r="BF102" s="244">
        <f t="shared" si="236"/>
        <v>0</v>
      </c>
      <c r="BG102" s="244">
        <f t="shared" si="236"/>
        <v>0.1027008547008547</v>
      </c>
      <c r="BH102" s="244">
        <f t="shared" si="236"/>
        <v>4.3</v>
      </c>
      <c r="BI102" s="244">
        <f t="shared" si="236"/>
        <v>8.1</v>
      </c>
      <c r="BJ102" s="244">
        <f t="shared" si="236"/>
        <v>1.8837209302325582</v>
      </c>
      <c r="BK102" s="244">
        <f t="shared" si="236"/>
        <v>0</v>
      </c>
      <c r="BL102" s="244">
        <f t="shared" si="236"/>
        <v>0</v>
      </c>
      <c r="BM102" s="244">
        <f>AD115</f>
        <v>0</v>
      </c>
      <c r="BN102" s="244">
        <f t="shared" si="231"/>
        <v>185.12701807031408</v>
      </c>
      <c r="BO102" s="244">
        <f t="shared" si="231"/>
        <v>0</v>
      </c>
      <c r="BP102" s="244">
        <f t="shared" si="231"/>
        <v>0.44951346777605417</v>
      </c>
      <c r="BQ102" s="244">
        <f t="shared" si="231"/>
        <v>0.3983923283034833</v>
      </c>
      <c r="BR102" s="240"/>
      <c r="BS102" s="240"/>
      <c r="BT102" s="240"/>
      <c r="BU102" s="245">
        <f t="shared" si="232"/>
        <v>2020</v>
      </c>
      <c r="BV102" s="245">
        <f t="shared" si="232"/>
        <v>120</v>
      </c>
      <c r="BW102" s="245">
        <f t="shared" si="232"/>
        <v>20</v>
      </c>
      <c r="BX102" s="246">
        <f t="shared" si="232"/>
        <v>90800</v>
      </c>
      <c r="BY102" s="246">
        <f t="shared" si="232"/>
        <v>82500</v>
      </c>
      <c r="BZ102" s="246">
        <f>'Annual Raw Data'!AZ10</f>
        <v>176.6</v>
      </c>
      <c r="CA102" s="246">
        <f t="shared" si="207"/>
        <v>14569.5</v>
      </c>
      <c r="CB102" s="246">
        <f t="shared" si="226"/>
        <v>1919</v>
      </c>
      <c r="CC102" s="246">
        <f t="shared" si="226"/>
        <v>25</v>
      </c>
      <c r="CD102" s="246">
        <f t="shared" si="209"/>
        <v>16513.5</v>
      </c>
      <c r="CE102" s="246">
        <f aca="true" t="shared" si="237" ref="CE102:CK102">L102</f>
        <v>0</v>
      </c>
      <c r="CF102" s="246">
        <f t="shared" si="237"/>
        <v>6375</v>
      </c>
      <c r="CG102" s="246">
        <f t="shared" si="237"/>
        <v>4950</v>
      </c>
      <c r="CH102" s="246">
        <f t="shared" si="237"/>
        <v>5650</v>
      </c>
      <c r="CI102" s="246">
        <f t="shared" si="237"/>
        <v>12025</v>
      </c>
      <c r="CJ102" s="246">
        <f t="shared" si="237"/>
        <v>2600</v>
      </c>
      <c r="CK102" s="246">
        <f t="shared" si="237"/>
        <v>14625</v>
      </c>
      <c r="CL102" s="248">
        <f>'Annual Raw Data'!AZ40</f>
        <v>0</v>
      </c>
      <c r="CM102" s="248">
        <f>'Annual Raw Data'!AZ42</f>
        <v>0</v>
      </c>
      <c r="CN102" s="246">
        <f aca="true" t="shared" si="238" ref="CN102:DA102">U102</f>
        <v>0</v>
      </c>
      <c r="CO102" s="246">
        <f t="shared" si="238"/>
        <v>0</v>
      </c>
      <c r="CP102" s="246">
        <f t="shared" si="238"/>
        <v>0</v>
      </c>
      <c r="CQ102" s="246">
        <f t="shared" si="238"/>
        <v>0.1027008547008547</v>
      </c>
      <c r="CR102" s="246">
        <f t="shared" si="238"/>
        <v>4.3</v>
      </c>
      <c r="CS102" s="246">
        <f t="shared" si="238"/>
        <v>8.1</v>
      </c>
      <c r="CT102" s="246">
        <f t="shared" si="238"/>
        <v>1.8837209302325582</v>
      </c>
      <c r="CU102" s="246">
        <f t="shared" si="238"/>
        <v>0</v>
      </c>
      <c r="CV102" s="246">
        <f t="shared" si="238"/>
        <v>0</v>
      </c>
      <c r="CW102" s="246">
        <f t="shared" si="238"/>
        <v>0</v>
      </c>
      <c r="CX102" s="246">
        <f t="shared" si="238"/>
        <v>185.12701807031408</v>
      </c>
      <c r="CY102" s="246">
        <f t="shared" si="238"/>
        <v>0</v>
      </c>
      <c r="CZ102" s="246">
        <f t="shared" si="238"/>
        <v>0.44951346777605417</v>
      </c>
      <c r="DA102" s="246">
        <f t="shared" si="238"/>
        <v>0.3983923283034833</v>
      </c>
    </row>
    <row r="103" spans="2:105" s="65" customFormat="1" ht="12.75">
      <c r="B103" s="252"/>
      <c r="C103" s="252"/>
      <c r="D103" s="226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75"/>
      <c r="AL103" s="175"/>
      <c r="AM103" s="175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0"/>
      <c r="BV103" s="180"/>
      <c r="BW103" s="180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53"/>
      <c r="CM103" s="253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52"/>
      <c r="C104" s="252"/>
      <c r="D104" s="226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5"/>
      <c r="AL104" s="175"/>
      <c r="AM104" s="175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0"/>
      <c r="BV104" s="180"/>
      <c r="BW104" s="180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53"/>
      <c r="CM104" s="253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52"/>
      <c r="C105" s="252"/>
      <c r="D105" s="226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5"/>
      <c r="AL105" s="175"/>
      <c r="AM105" s="175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0"/>
      <c r="BV105" s="180"/>
      <c r="BW105" s="180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53"/>
      <c r="CM105" s="253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52"/>
      <c r="C106" s="252"/>
      <c r="D106" s="226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5"/>
      <c r="AL106" s="175"/>
      <c r="AM106" s="175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0"/>
      <c r="BV106" s="180"/>
      <c r="BW106" s="180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53"/>
      <c r="CM106" s="253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52"/>
      <c r="C107" s="252"/>
      <c r="D107" s="226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5"/>
      <c r="AL107" s="175"/>
      <c r="AM107" s="175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0"/>
      <c r="BV107" s="180"/>
      <c r="BW107" s="180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53"/>
      <c r="CM107" s="253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52"/>
      <c r="C108" s="252"/>
      <c r="D108" s="226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5"/>
      <c r="AL108" s="175"/>
      <c r="AM108" s="175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0"/>
      <c r="BV108" s="180"/>
      <c r="BW108" s="180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53"/>
      <c r="CM108" s="253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52"/>
      <c r="C109" s="252"/>
      <c r="D109" s="226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5"/>
      <c r="AL109" s="175"/>
      <c r="AM109" s="175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0"/>
      <c r="BV109" s="180"/>
      <c r="BW109" s="180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53"/>
      <c r="CM109" s="253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52"/>
      <c r="C110" s="252"/>
      <c r="D110" s="226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5"/>
      <c r="AL110" s="175"/>
      <c r="AM110" s="175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0"/>
      <c r="BV110" s="180"/>
      <c r="BW110" s="180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53"/>
      <c r="CM110" s="253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232</v>
      </c>
    </row>
    <row r="118" spans="4:11" ht="12.75">
      <c r="D118" t="s">
        <v>168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168</v>
      </c>
    </row>
    <row r="120" spans="4:11" ht="13.5" thickBot="1">
      <c r="D120" s="19" t="s">
        <v>173</v>
      </c>
      <c r="E120" s="19"/>
      <c r="F120"/>
      <c r="G120"/>
      <c r="H120"/>
      <c r="I120"/>
      <c r="K120"/>
    </row>
    <row r="121" spans="4:27" ht="12.75">
      <c r="D121" s="16" t="s">
        <v>175</v>
      </c>
      <c r="E121" s="16">
        <v>0.8156936187829372</v>
      </c>
      <c r="F121"/>
      <c r="G121"/>
      <c r="H121"/>
      <c r="I121"/>
      <c r="K121"/>
      <c r="X121" s="40" t="s">
        <v>173</v>
      </c>
      <c r="Y121" s="19"/>
      <c r="Z121" s="48"/>
      <c r="AA121" s="48"/>
    </row>
    <row r="122" spans="4:27" ht="12.75">
      <c r="D122" s="16" t="s">
        <v>177</v>
      </c>
      <c r="E122" s="16">
        <v>0.6653560797232038</v>
      </c>
      <c r="F122"/>
      <c r="G122"/>
      <c r="H122"/>
      <c r="I122"/>
      <c r="K122"/>
      <c r="X122" s="41" t="s">
        <v>175</v>
      </c>
      <c r="Y122" s="16">
        <v>0.6017171790284114</v>
      </c>
      <c r="Z122" s="16"/>
      <c r="AA122" s="16"/>
    </row>
    <row r="123" spans="4:27" ht="12.75">
      <c r="D123" s="16" t="s">
        <v>179</v>
      </c>
      <c r="E123" s="16">
        <v>0.6281734219146708</v>
      </c>
      <c r="F123"/>
      <c r="G123"/>
      <c r="H123"/>
      <c r="I123"/>
      <c r="K123"/>
      <c r="X123" s="41" t="s">
        <v>177</v>
      </c>
      <c r="Y123" s="16">
        <v>0.3620635635379093</v>
      </c>
      <c r="Z123" s="16"/>
      <c r="AA123" s="16"/>
    </row>
    <row r="124" spans="4:27" ht="12.75">
      <c r="D124" s="16" t="s">
        <v>181</v>
      </c>
      <c r="E124" s="16">
        <v>6.364002583743093</v>
      </c>
      <c r="F124"/>
      <c r="G124"/>
      <c r="H124"/>
      <c r="I124"/>
      <c r="K124"/>
      <c r="X124" s="41" t="s">
        <v>179</v>
      </c>
      <c r="Y124" s="16">
        <v>0.33168563799209544</v>
      </c>
      <c r="Z124" s="16"/>
      <c r="AA124" s="16"/>
    </row>
    <row r="125" spans="4:27" ht="13.5" thickBot="1">
      <c r="D125" s="17" t="s">
        <v>183</v>
      </c>
      <c r="E125" s="17">
        <v>11</v>
      </c>
      <c r="F125"/>
      <c r="G125"/>
      <c r="H125"/>
      <c r="I125"/>
      <c r="K125"/>
      <c r="X125" s="41" t="s">
        <v>181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183</v>
      </c>
      <c r="Y126" s="17">
        <v>23</v>
      </c>
      <c r="Z126" s="16"/>
      <c r="AA126" s="16"/>
    </row>
    <row r="127" spans="4:11" ht="13.5" thickBot="1">
      <c r="D127" t="s">
        <v>186</v>
      </c>
      <c r="E127"/>
      <c r="F127"/>
      <c r="G127"/>
      <c r="H127"/>
      <c r="I127"/>
      <c r="K127"/>
    </row>
    <row r="128" spans="4:24" ht="13.5" thickBot="1">
      <c r="D128" s="18"/>
      <c r="E128" s="18" t="s">
        <v>188</v>
      </c>
      <c r="F128" s="18" t="s">
        <v>189</v>
      </c>
      <c r="G128" s="18" t="s">
        <v>190</v>
      </c>
      <c r="H128" s="18" t="s">
        <v>191</v>
      </c>
      <c r="I128" s="18" t="s">
        <v>192</v>
      </c>
      <c r="K128"/>
      <c r="X128" s="36" t="s">
        <v>186</v>
      </c>
    </row>
    <row r="129" spans="4:31" ht="12.75">
      <c r="D129" s="16" t="s">
        <v>195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188</v>
      </c>
      <c r="Z129" s="18"/>
      <c r="AA129" s="18"/>
      <c r="AB129" s="18" t="s">
        <v>189</v>
      </c>
      <c r="AC129" s="18" t="s">
        <v>190</v>
      </c>
      <c r="AD129" s="18" t="s">
        <v>191</v>
      </c>
      <c r="AE129" s="18" t="s">
        <v>192</v>
      </c>
    </row>
    <row r="130" spans="4:31" ht="12.75">
      <c r="D130" s="16" t="s">
        <v>196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195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197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196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197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198</v>
      </c>
      <c r="F133" s="18" t="s">
        <v>181</v>
      </c>
      <c r="G133" s="18" t="s">
        <v>199</v>
      </c>
      <c r="H133" s="18" t="s">
        <v>200</v>
      </c>
      <c r="I133" s="18" t="s">
        <v>201</v>
      </c>
      <c r="J133" s="18" t="s">
        <v>202</v>
      </c>
      <c r="K133" s="18" t="s">
        <v>203</v>
      </c>
      <c r="L133" s="18" t="s">
        <v>204</v>
      </c>
    </row>
    <row r="134" spans="4:35" ht="12.75">
      <c r="D134" s="16" t="s">
        <v>205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198</v>
      </c>
      <c r="Z134" s="18"/>
      <c r="AA134" s="18"/>
      <c r="AB134" s="18" t="s">
        <v>181</v>
      </c>
      <c r="AC134" s="18" t="s">
        <v>199</v>
      </c>
      <c r="AD134" s="18" t="s">
        <v>200</v>
      </c>
      <c r="AE134" s="18" t="s">
        <v>201</v>
      </c>
      <c r="AF134" s="18" t="s">
        <v>202</v>
      </c>
      <c r="AG134" s="18" t="s">
        <v>203</v>
      </c>
      <c r="AH134" s="18" t="s">
        <v>204</v>
      </c>
      <c r="AI134" s="54"/>
    </row>
    <row r="135" spans="4:35" ht="13.5" thickBot="1">
      <c r="D135" s="17" t="s">
        <v>206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205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206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207</v>
      </c>
    </row>
    <row r="141" ht="13.5" thickBot="1"/>
    <row r="142" spans="4:28" ht="12.75">
      <c r="D142" s="18"/>
      <c r="E142" s="32"/>
      <c r="F142" s="32"/>
      <c r="X142" s="43" t="s">
        <v>209</v>
      </c>
      <c r="Y142" s="18" t="s">
        <v>210</v>
      </c>
      <c r="Z142" s="18"/>
      <c r="AA142" s="18"/>
      <c r="AB142" s="18" t="s">
        <v>211</v>
      </c>
    </row>
    <row r="143" spans="4:28" ht="12.75">
      <c r="D143" s="20" t="s">
        <v>246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168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173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175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177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179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181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183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186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188</v>
      </c>
      <c r="F154" s="18" t="s">
        <v>189</v>
      </c>
      <c r="G154" s="18" t="s">
        <v>190</v>
      </c>
      <c r="H154" s="18" t="s">
        <v>191</v>
      </c>
      <c r="I154" s="18" t="s">
        <v>192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195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196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197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198</v>
      </c>
      <c r="F159" s="18" t="s">
        <v>181</v>
      </c>
      <c r="G159" s="18" t="s">
        <v>199</v>
      </c>
      <c r="H159" s="18" t="s">
        <v>200</v>
      </c>
      <c r="I159" s="18" t="s">
        <v>201</v>
      </c>
      <c r="J159" s="18" t="s">
        <v>202</v>
      </c>
      <c r="K159" s="18" t="s">
        <v>203</v>
      </c>
      <c r="L159" s="18" t="s">
        <v>204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205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206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247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168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173</v>
      </c>
      <c r="E168" s="19"/>
      <c r="F168"/>
      <c r="G168"/>
      <c r="H168"/>
      <c r="I168"/>
      <c r="K168"/>
    </row>
    <row r="169" spans="4:11" ht="12.75">
      <c r="D169" s="16" t="s">
        <v>175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177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179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181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183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186</v>
      </c>
      <c r="E175"/>
      <c r="F175"/>
      <c r="G175"/>
      <c r="H175"/>
      <c r="I175"/>
      <c r="K175"/>
    </row>
    <row r="176" spans="4:11" ht="12.75">
      <c r="D176" s="18"/>
      <c r="E176" s="18" t="s">
        <v>188</v>
      </c>
      <c r="F176" s="18" t="s">
        <v>189</v>
      </c>
      <c r="G176" s="18" t="s">
        <v>190</v>
      </c>
      <c r="H176" s="18" t="s">
        <v>191</v>
      </c>
      <c r="I176" s="18" t="s">
        <v>192</v>
      </c>
      <c r="K176"/>
    </row>
    <row r="177" spans="4:11" ht="12.75">
      <c r="D177" s="16" t="s">
        <v>195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196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197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198</v>
      </c>
      <c r="F181" s="18" t="s">
        <v>181</v>
      </c>
      <c r="G181" s="18" t="s">
        <v>199</v>
      </c>
      <c r="H181" s="18" t="s">
        <v>200</v>
      </c>
      <c r="I181" s="18" t="s">
        <v>201</v>
      </c>
      <c r="J181" s="18" t="s">
        <v>202</v>
      </c>
      <c r="K181" s="18" t="s">
        <v>203</v>
      </c>
      <c r="L181" s="18" t="s">
        <v>204</v>
      </c>
    </row>
    <row r="182" spans="4:12" ht="12.75">
      <c r="D182" s="16" t="s">
        <v>205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206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248</v>
      </c>
      <c r="E187" s="33"/>
      <c r="F187" s="33"/>
    </row>
    <row r="188" spans="4:11" ht="12.75">
      <c r="D188" t="s">
        <v>168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173</v>
      </c>
      <c r="E190" s="19"/>
      <c r="F190"/>
      <c r="G190"/>
      <c r="H190"/>
      <c r="I190"/>
      <c r="K190"/>
    </row>
    <row r="191" spans="4:11" ht="12.75">
      <c r="D191" s="16" t="s">
        <v>175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177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179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181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183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186</v>
      </c>
      <c r="E197"/>
      <c r="F197"/>
      <c r="G197"/>
      <c r="H197"/>
      <c r="I197"/>
      <c r="K197"/>
    </row>
    <row r="198" spans="4:11" ht="12.75">
      <c r="D198" s="18"/>
      <c r="E198" s="18" t="s">
        <v>188</v>
      </c>
      <c r="F198" s="18" t="s">
        <v>189</v>
      </c>
      <c r="G198" s="18" t="s">
        <v>190</v>
      </c>
      <c r="H198" s="18" t="s">
        <v>191</v>
      </c>
      <c r="I198" s="18" t="s">
        <v>192</v>
      </c>
      <c r="K198"/>
    </row>
    <row r="199" spans="4:11" ht="12.75">
      <c r="D199" s="16" t="s">
        <v>195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196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197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198</v>
      </c>
      <c r="F203" s="18" t="s">
        <v>181</v>
      </c>
      <c r="G203" s="18" t="s">
        <v>199</v>
      </c>
      <c r="H203" s="18" t="s">
        <v>200</v>
      </c>
      <c r="I203" s="18" t="s">
        <v>201</v>
      </c>
      <c r="J203" s="18" t="s">
        <v>202</v>
      </c>
      <c r="K203" s="18" t="s">
        <v>203</v>
      </c>
      <c r="L203" s="18" t="s">
        <v>204</v>
      </c>
    </row>
    <row r="204" spans="4:12" ht="12.75">
      <c r="D204" s="16" t="s">
        <v>205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206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zoomScalePageLayoutView="0" workbookViewId="0" topLeftCell="A1">
      <selection activeCell="A26" sqref="A2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B1:CW94"/>
  <sheetViews>
    <sheetView tabSelected="1" zoomScalePageLayoutView="0" workbookViewId="0" topLeftCell="A1">
      <pane xSplit="2" ySplit="6" topLeftCell="AM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X5" sqref="AX5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2" width="9.140625" style="70" customWidth="1"/>
    <col min="53" max="53" width="4.7109375" style="70" customWidth="1"/>
    <col min="54" max="16384" width="9.7109375" style="70" customWidth="1"/>
  </cols>
  <sheetData>
    <row r="1" spans="2:3" ht="12.75">
      <c r="B1" s="190" t="s">
        <v>278</v>
      </c>
      <c r="C1" s="71"/>
    </row>
    <row r="2" spans="2:50" ht="12.75">
      <c r="B2" s="196" t="s">
        <v>279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</row>
    <row r="3" spans="2:52" ht="12.75">
      <c r="B3" s="73" t="str">
        <f>B2&amp;" "&amp;"&amp; K-State Ag. Econ. Dept."</f>
        <v>Source:  USDA WASDE Report 2.9.21 &amp; K-State Ag. Econ. Dept.</v>
      </c>
      <c r="Z3" s="74"/>
      <c r="AA3" s="75"/>
      <c r="AB3" s="75"/>
      <c r="AF3" s="74"/>
      <c r="AG3" s="74"/>
      <c r="AH3" s="74"/>
      <c r="AQ3" s="238"/>
      <c r="AR3" s="238"/>
      <c r="AS3" s="238"/>
      <c r="AT3" s="238"/>
      <c r="AU3" s="238"/>
      <c r="AV3" s="238"/>
      <c r="AW3" s="238"/>
      <c r="AX3" s="137" t="s">
        <v>262</v>
      </c>
      <c r="AY3" s="137"/>
      <c r="AZ3" s="137"/>
    </row>
    <row r="4" spans="3:81" ht="12.75">
      <c r="C4" s="76"/>
      <c r="D4" s="76"/>
      <c r="E4" s="76"/>
      <c r="F4" s="76"/>
      <c r="G4" s="193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23"/>
      <c r="AO4" s="223"/>
      <c r="AP4" s="223"/>
      <c r="AQ4" s="223"/>
      <c r="AR4" s="223"/>
      <c r="AS4" s="223"/>
      <c r="AT4" s="223"/>
      <c r="AU4" s="223"/>
      <c r="AV4" s="223"/>
      <c r="AW4" s="238"/>
      <c r="AX4" s="137" t="s">
        <v>263</v>
      </c>
      <c r="AY4" s="138" t="s">
        <v>224</v>
      </c>
      <c r="AZ4" s="138" t="s">
        <v>225</v>
      </c>
      <c r="BB4"/>
      <c r="BC4"/>
      <c r="BD4"/>
      <c r="BE4"/>
      <c r="BF4"/>
      <c r="CC4" s="72" t="s">
        <v>19</v>
      </c>
    </row>
    <row r="5" spans="2:101" ht="12.75">
      <c r="B5" s="193" t="s">
        <v>20</v>
      </c>
      <c r="C5" s="195">
        <v>73</v>
      </c>
      <c r="D5" s="195">
        <v>74</v>
      </c>
      <c r="E5" s="195">
        <v>75</v>
      </c>
      <c r="F5" s="195">
        <v>76</v>
      </c>
      <c r="G5" s="195">
        <v>77</v>
      </c>
      <c r="H5" s="195">
        <v>78</v>
      </c>
      <c r="I5" s="195">
        <v>79</v>
      </c>
      <c r="J5" s="195">
        <v>80</v>
      </c>
      <c r="K5" s="195">
        <v>81</v>
      </c>
      <c r="L5" s="195">
        <v>82</v>
      </c>
      <c r="M5" s="195">
        <v>83</v>
      </c>
      <c r="N5" s="195">
        <v>84</v>
      </c>
      <c r="O5" s="195">
        <v>85</v>
      </c>
      <c r="P5" s="195">
        <v>86</v>
      </c>
      <c r="Q5" s="195">
        <v>87</v>
      </c>
      <c r="R5" s="195">
        <v>88</v>
      </c>
      <c r="S5" s="195">
        <v>89</v>
      </c>
      <c r="T5" s="195">
        <v>90</v>
      </c>
      <c r="U5" s="195">
        <v>91</v>
      </c>
      <c r="V5" s="195">
        <v>92</v>
      </c>
      <c r="W5" s="195">
        <v>93</v>
      </c>
      <c r="X5" s="195">
        <v>94</v>
      </c>
      <c r="Y5" s="195">
        <v>95</v>
      </c>
      <c r="Z5" s="73">
        <v>96</v>
      </c>
      <c r="AA5" s="73">
        <v>97</v>
      </c>
      <c r="AB5" s="73">
        <v>98</v>
      </c>
      <c r="AC5" s="73">
        <v>99</v>
      </c>
      <c r="AD5" s="197" t="s">
        <v>21</v>
      </c>
      <c r="AE5" s="197" t="s">
        <v>16</v>
      </c>
      <c r="AF5" s="197" t="s">
        <v>83</v>
      </c>
      <c r="AG5" s="197" t="s">
        <v>25</v>
      </c>
      <c r="AH5" s="197" t="s">
        <v>208</v>
      </c>
      <c r="AI5" s="198" t="s">
        <v>220</v>
      </c>
      <c r="AJ5" s="198" t="s">
        <v>222</v>
      </c>
      <c r="AK5" s="198" t="s">
        <v>228</v>
      </c>
      <c r="AL5" s="198" t="s">
        <v>243</v>
      </c>
      <c r="AM5" s="198" t="s">
        <v>258</v>
      </c>
      <c r="AN5" s="198">
        <v>10</v>
      </c>
      <c r="AO5" s="198">
        <v>11</v>
      </c>
      <c r="AP5" s="198">
        <v>12</v>
      </c>
      <c r="AQ5" s="198">
        <v>13</v>
      </c>
      <c r="AR5" s="198">
        <v>14</v>
      </c>
      <c r="AS5" s="198">
        <v>15</v>
      </c>
      <c r="AT5" s="198">
        <v>16</v>
      </c>
      <c r="AU5" s="198">
        <v>17</v>
      </c>
      <c r="AV5" s="198">
        <v>18</v>
      </c>
      <c r="AW5" s="198">
        <v>19</v>
      </c>
      <c r="AX5" s="199">
        <v>20</v>
      </c>
      <c r="AY5" s="199">
        <v>20</v>
      </c>
      <c r="AZ5" s="199">
        <v>20</v>
      </c>
      <c r="BB5"/>
      <c r="BC5"/>
      <c r="BD5"/>
      <c r="BE5"/>
      <c r="BF5"/>
      <c r="CC5" s="79" t="s">
        <v>22</v>
      </c>
      <c r="CD5" s="79" t="s">
        <v>22</v>
      </c>
      <c r="CE5" s="79" t="s">
        <v>22</v>
      </c>
      <c r="CF5" s="79" t="s">
        <v>22</v>
      </c>
      <c r="CG5" s="79" t="s">
        <v>22</v>
      </c>
      <c r="CH5" s="79" t="s">
        <v>22</v>
      </c>
      <c r="CI5" s="79" t="s">
        <v>22</v>
      </c>
      <c r="CJ5" s="79" t="s">
        <v>22</v>
      </c>
      <c r="CK5" s="79" t="s">
        <v>22</v>
      </c>
      <c r="CL5" s="79" t="s">
        <v>22</v>
      </c>
      <c r="CM5" s="79" t="s">
        <v>22</v>
      </c>
      <c r="CN5" s="79" t="s">
        <v>22</v>
      </c>
      <c r="CO5" s="79" t="s">
        <v>22</v>
      </c>
      <c r="CP5" s="79" t="s">
        <v>22</v>
      </c>
      <c r="CQ5" s="79" t="s">
        <v>22</v>
      </c>
      <c r="CR5" s="79" t="s">
        <v>22</v>
      </c>
      <c r="CS5" s="79" t="s">
        <v>22</v>
      </c>
      <c r="CT5" s="79" t="s">
        <v>22</v>
      </c>
      <c r="CU5" s="79" t="s">
        <v>22</v>
      </c>
      <c r="CV5" s="79" t="s">
        <v>22</v>
      </c>
      <c r="CW5" s="79" t="s">
        <v>22</v>
      </c>
    </row>
    <row r="6" spans="2:97" ht="13.5" thickBot="1">
      <c r="B6" s="191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221</v>
      </c>
      <c r="AJ6" s="83" t="s">
        <v>223</v>
      </c>
      <c r="AK6" s="83" t="s">
        <v>229</v>
      </c>
      <c r="AL6" s="83" t="s">
        <v>242</v>
      </c>
      <c r="AM6" s="83" t="s">
        <v>259</v>
      </c>
      <c r="AN6" s="83" t="s">
        <v>261</v>
      </c>
      <c r="AO6" s="83" t="s">
        <v>265</v>
      </c>
      <c r="AP6" s="83" t="s">
        <v>268</v>
      </c>
      <c r="AQ6" s="83" t="s">
        <v>270</v>
      </c>
      <c r="AR6" s="83" t="s">
        <v>271</v>
      </c>
      <c r="AS6" s="83" t="s">
        <v>272</v>
      </c>
      <c r="AT6" s="83" t="s">
        <v>273</v>
      </c>
      <c r="AU6" s="83" t="s">
        <v>274</v>
      </c>
      <c r="AV6" s="83" t="s">
        <v>275</v>
      </c>
      <c r="AW6" s="83" t="s">
        <v>276</v>
      </c>
      <c r="AX6" s="139" t="s">
        <v>277</v>
      </c>
      <c r="AY6" s="139" t="s">
        <v>277</v>
      </c>
      <c r="AZ6" s="139" t="s">
        <v>277</v>
      </c>
      <c r="BB6"/>
      <c r="BC6"/>
      <c r="BD6"/>
      <c r="BE6"/>
      <c r="BF6"/>
      <c r="CG6" s="72" t="s">
        <v>53</v>
      </c>
      <c r="CM6" s="72" t="s">
        <v>54</v>
      </c>
      <c r="CS6" s="72" t="s">
        <v>55</v>
      </c>
    </row>
    <row r="7" spans="2:101" ht="12.75">
      <c r="B7" s="194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3"/>
      <c r="Z7" s="183"/>
      <c r="AA7" s="184"/>
      <c r="AB7" s="185"/>
      <c r="AC7" s="184"/>
      <c r="AD7" s="184"/>
      <c r="AE7" s="184"/>
      <c r="AF7" s="184"/>
      <c r="AG7" s="184"/>
      <c r="AH7" s="184"/>
      <c r="AI7" s="186"/>
      <c r="AJ7" s="186"/>
      <c r="AK7" s="186"/>
      <c r="AL7" s="186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8"/>
      <c r="AY7" s="188"/>
      <c r="AZ7" s="188"/>
      <c r="BB7"/>
      <c r="BC7"/>
      <c r="BD7"/>
      <c r="BE7"/>
      <c r="BF7"/>
      <c r="CE7" s="72" t="s">
        <v>56</v>
      </c>
      <c r="CG7" s="79" t="s">
        <v>22</v>
      </c>
      <c r="CH7" s="79" t="s">
        <v>22</v>
      </c>
      <c r="CI7" s="72" t="s">
        <v>57</v>
      </c>
      <c r="CJ7" s="72" t="s">
        <v>58</v>
      </c>
      <c r="CK7" s="79" t="s">
        <v>22</v>
      </c>
      <c r="CL7" s="79" t="s">
        <v>22</v>
      </c>
      <c r="CM7" s="79" t="s">
        <v>22</v>
      </c>
      <c r="CN7" s="79" t="s">
        <v>22</v>
      </c>
      <c r="CO7" s="72" t="s">
        <v>59</v>
      </c>
      <c r="CP7" s="72" t="s">
        <v>60</v>
      </c>
      <c r="CR7" s="72" t="s">
        <v>61</v>
      </c>
      <c r="CS7" s="79" t="s">
        <v>22</v>
      </c>
      <c r="CT7" s="79" t="s">
        <v>22</v>
      </c>
      <c r="CU7" s="79" t="s">
        <v>22</v>
      </c>
      <c r="CV7" s="79" t="s">
        <v>22</v>
      </c>
      <c r="CW7" s="79" t="s">
        <v>22</v>
      </c>
    </row>
    <row r="8" spans="2:100" ht="12.75">
      <c r="B8" s="193" t="s">
        <v>249</v>
      </c>
      <c r="C8" s="204">
        <v>72.3</v>
      </c>
      <c r="D8" s="204">
        <v>77.9</v>
      </c>
      <c r="E8" s="204">
        <v>78.7</v>
      </c>
      <c r="F8" s="204">
        <v>84.6</v>
      </c>
      <c r="G8" s="204">
        <v>84.3</v>
      </c>
      <c r="H8" s="204">
        <v>81.7</v>
      </c>
      <c r="I8" s="204">
        <v>81.4</v>
      </c>
      <c r="J8" s="204">
        <v>84</v>
      </c>
      <c r="K8" s="204">
        <v>84.1</v>
      </c>
      <c r="L8" s="204">
        <v>81.9</v>
      </c>
      <c r="M8" s="204">
        <v>60.2</v>
      </c>
      <c r="N8" s="204">
        <v>80.5</v>
      </c>
      <c r="O8" s="204">
        <v>83.3</v>
      </c>
      <c r="P8" s="204">
        <v>76.58</v>
      </c>
      <c r="Q8" s="204">
        <v>66.2</v>
      </c>
      <c r="R8" s="204">
        <v>67.717</v>
      </c>
      <c r="S8" s="204">
        <v>72.322</v>
      </c>
      <c r="T8" s="204">
        <v>74.166</v>
      </c>
      <c r="U8" s="204">
        <v>75.957</v>
      </c>
      <c r="V8" s="204">
        <v>79.311</v>
      </c>
      <c r="W8" s="204">
        <v>73.235</v>
      </c>
      <c r="X8" s="204">
        <v>79.175</v>
      </c>
      <c r="Y8" s="204">
        <v>71.245</v>
      </c>
      <c r="Z8" s="204">
        <v>79.2</v>
      </c>
      <c r="AA8" s="204">
        <v>79.537</v>
      </c>
      <c r="AB8" s="204">
        <v>80.187</v>
      </c>
      <c r="AC8" s="205">
        <v>77.4</v>
      </c>
      <c r="AD8" s="201">
        <v>79.551</v>
      </c>
      <c r="AE8" s="206">
        <v>75.8</v>
      </c>
      <c r="AF8" s="206">
        <v>78.9</v>
      </c>
      <c r="AG8" s="205">
        <v>78.6</v>
      </c>
      <c r="AH8" s="207">
        <v>80.9</v>
      </c>
      <c r="AI8" s="207">
        <v>81.8</v>
      </c>
      <c r="AJ8" s="208">
        <v>78.327</v>
      </c>
      <c r="AK8" s="208">
        <v>93.6</v>
      </c>
      <c r="AL8" s="208">
        <v>86</v>
      </c>
      <c r="AM8" s="209">
        <v>86.4</v>
      </c>
      <c r="AN8" s="209">
        <v>88.2</v>
      </c>
      <c r="AO8" s="209">
        <v>91.9</v>
      </c>
      <c r="AP8" s="209">
        <v>97.3</v>
      </c>
      <c r="AQ8" s="209">
        <v>95.4</v>
      </c>
      <c r="AR8" s="209">
        <v>90.6</v>
      </c>
      <c r="AS8" s="209">
        <v>88</v>
      </c>
      <c r="AT8" s="209">
        <v>94</v>
      </c>
      <c r="AU8" s="209">
        <v>90.2</v>
      </c>
      <c r="AV8" s="209">
        <v>88.9</v>
      </c>
      <c r="AW8" s="209">
        <v>89.7</v>
      </c>
      <c r="AX8" s="141">
        <v>90.8</v>
      </c>
      <c r="AY8" s="141">
        <f>AX8</f>
        <v>90.8</v>
      </c>
      <c r="AZ8" s="140">
        <f>AY8</f>
        <v>90.8</v>
      </c>
      <c r="BB8"/>
      <c r="BC8"/>
      <c r="BD8"/>
      <c r="BE8"/>
      <c r="BF8"/>
      <c r="CC8" s="72" t="s">
        <v>20</v>
      </c>
      <c r="CE8" s="72" t="s">
        <v>63</v>
      </c>
      <c r="CJ8" s="72" t="s">
        <v>64</v>
      </c>
      <c r="CP8" s="72" t="s">
        <v>65</v>
      </c>
      <c r="CS8" s="72" t="s">
        <v>66</v>
      </c>
      <c r="CU8" s="72" t="s">
        <v>67</v>
      </c>
      <c r="CV8" s="72" t="s">
        <v>68</v>
      </c>
    </row>
    <row r="9" spans="2:100" ht="12.75">
      <c r="B9" s="193" t="s">
        <v>250</v>
      </c>
      <c r="C9" s="204">
        <v>62.1</v>
      </c>
      <c r="D9" s="204">
        <v>65.4</v>
      </c>
      <c r="E9" s="204">
        <v>67.6</v>
      </c>
      <c r="F9" s="204">
        <v>71.5</v>
      </c>
      <c r="G9" s="204">
        <v>71.6</v>
      </c>
      <c r="H9" s="204">
        <v>71.9</v>
      </c>
      <c r="I9" s="204">
        <v>72.4</v>
      </c>
      <c r="J9" s="204">
        <v>73</v>
      </c>
      <c r="K9" s="204">
        <v>74.5</v>
      </c>
      <c r="L9" s="204">
        <v>72.7</v>
      </c>
      <c r="M9" s="204">
        <v>51.5</v>
      </c>
      <c r="N9" s="204">
        <v>71.9</v>
      </c>
      <c r="O9" s="204">
        <v>75.2</v>
      </c>
      <c r="P9" s="204">
        <v>68.907</v>
      </c>
      <c r="Q9" s="204">
        <v>59.505</v>
      </c>
      <c r="R9" s="204">
        <v>58.25</v>
      </c>
      <c r="S9" s="204">
        <v>64.783</v>
      </c>
      <c r="T9" s="204">
        <v>66.952</v>
      </c>
      <c r="U9" s="204">
        <v>68.822</v>
      </c>
      <c r="V9" s="204">
        <v>72.077</v>
      </c>
      <c r="W9" s="204">
        <v>62.921</v>
      </c>
      <c r="X9" s="204">
        <v>72.887</v>
      </c>
      <c r="Y9" s="204">
        <v>64.995</v>
      </c>
      <c r="Z9" s="210">
        <v>72.6</v>
      </c>
      <c r="AA9" s="210">
        <v>72.7</v>
      </c>
      <c r="AB9" s="210">
        <v>72.6</v>
      </c>
      <c r="AC9" s="206">
        <v>70.5</v>
      </c>
      <c r="AD9" s="201">
        <v>72.44</v>
      </c>
      <c r="AE9" s="206">
        <v>68.808</v>
      </c>
      <c r="AF9" s="206">
        <v>69.313</v>
      </c>
      <c r="AG9" s="206">
        <v>70.9</v>
      </c>
      <c r="AH9" s="208">
        <v>73.6</v>
      </c>
      <c r="AI9" s="208">
        <v>75.1</v>
      </c>
      <c r="AJ9" s="208">
        <v>70.648</v>
      </c>
      <c r="AK9" s="208">
        <v>86.5</v>
      </c>
      <c r="AL9" s="211">
        <v>78.63</v>
      </c>
      <c r="AM9" s="209">
        <v>79.5</v>
      </c>
      <c r="AN9" s="209">
        <v>81.4</v>
      </c>
      <c r="AO9" s="209">
        <v>83.97</v>
      </c>
      <c r="AP9" s="209">
        <v>87.36</v>
      </c>
      <c r="AQ9" s="209">
        <v>87.47</v>
      </c>
      <c r="AR9" s="209">
        <v>83.12</v>
      </c>
      <c r="AS9" s="209">
        <v>80.8</v>
      </c>
      <c r="AT9" s="209">
        <v>86.74</v>
      </c>
      <c r="AU9" s="209">
        <v>82.7</v>
      </c>
      <c r="AV9" s="209">
        <v>81.3</v>
      </c>
      <c r="AW9" s="209">
        <v>81.3</v>
      </c>
      <c r="AX9" s="141">
        <v>82.5</v>
      </c>
      <c r="AY9" s="141">
        <f>AX9</f>
        <v>82.5</v>
      </c>
      <c r="AZ9" s="140">
        <f>AY9</f>
        <v>82.5</v>
      </c>
      <c r="BB9"/>
      <c r="BC9"/>
      <c r="BD9"/>
      <c r="BE9"/>
      <c r="BF9"/>
      <c r="CC9" s="72" t="s">
        <v>70</v>
      </c>
      <c r="CE9" s="72" t="s">
        <v>71</v>
      </c>
      <c r="CG9" s="72" t="s">
        <v>73</v>
      </c>
      <c r="CH9" s="72" t="s">
        <v>74</v>
      </c>
      <c r="CI9" s="72" t="s">
        <v>75</v>
      </c>
      <c r="CJ9" s="72" t="s">
        <v>76</v>
      </c>
      <c r="CM9" s="72" t="s">
        <v>77</v>
      </c>
      <c r="CO9" s="72" t="s">
        <v>78</v>
      </c>
      <c r="CP9" s="72" t="s">
        <v>79</v>
      </c>
      <c r="CR9" s="72" t="s">
        <v>80</v>
      </c>
      <c r="CS9" s="72" t="s">
        <v>81</v>
      </c>
      <c r="CT9" s="72" t="s">
        <v>82</v>
      </c>
      <c r="CU9" s="72" t="s">
        <v>85</v>
      </c>
      <c r="CV9" s="72" t="s">
        <v>86</v>
      </c>
    </row>
    <row r="10" spans="2:100" ht="12.75">
      <c r="B10" s="193" t="s">
        <v>251</v>
      </c>
      <c r="C10" s="85">
        <f aca="true" t="shared" si="0" ref="C10:AM10">C12/C9</f>
        <v>91.32045088566828</v>
      </c>
      <c r="D10" s="85">
        <f t="shared" si="0"/>
        <v>71.88073394495412</v>
      </c>
      <c r="E10" s="85">
        <f t="shared" si="0"/>
        <v>86.40532544378699</v>
      </c>
      <c r="F10" s="85">
        <f t="shared" si="0"/>
        <v>87.95804195804196</v>
      </c>
      <c r="G10" s="85">
        <f t="shared" si="0"/>
        <v>90.85195530726257</v>
      </c>
      <c r="H10" s="85">
        <f t="shared" si="0"/>
        <v>101.08484005563281</v>
      </c>
      <c r="I10" s="85">
        <f t="shared" si="0"/>
        <v>109.50276243093921</v>
      </c>
      <c r="J10" s="85">
        <f t="shared" si="0"/>
        <v>90.94520547945206</v>
      </c>
      <c r="K10" s="85">
        <f t="shared" si="0"/>
        <v>108.97986577181209</v>
      </c>
      <c r="L10" s="85">
        <f t="shared" si="0"/>
        <v>113.27372764786794</v>
      </c>
      <c r="M10" s="85">
        <f t="shared" si="0"/>
        <v>81.04854368932038</v>
      </c>
      <c r="N10" s="85">
        <f t="shared" si="0"/>
        <v>106.70375521557719</v>
      </c>
      <c r="O10" s="85">
        <f t="shared" si="0"/>
        <v>118.0186170212766</v>
      </c>
      <c r="P10" s="85">
        <f t="shared" si="0"/>
        <v>119.3748675751375</v>
      </c>
      <c r="Q10" s="85">
        <f t="shared" si="0"/>
        <v>119.84371061255356</v>
      </c>
      <c r="R10" s="85">
        <f t="shared" si="0"/>
        <v>84.61254935622317</v>
      </c>
      <c r="S10" s="85">
        <f t="shared" si="0"/>
        <v>116.26434404087493</v>
      </c>
      <c r="T10" s="85">
        <f t="shared" si="0"/>
        <v>118.50322619189868</v>
      </c>
      <c r="U10" s="85">
        <f t="shared" si="0"/>
        <v>108.61011013919968</v>
      </c>
      <c r="V10" s="85">
        <f t="shared" si="0"/>
        <v>131.48019479168113</v>
      </c>
      <c r="W10" s="85">
        <f t="shared" si="0"/>
        <v>100.70516997504808</v>
      </c>
      <c r="X10" s="85">
        <f t="shared" si="0"/>
        <v>138.60818801706753</v>
      </c>
      <c r="Y10" s="85">
        <f t="shared" si="0"/>
        <v>113.45297330563889</v>
      </c>
      <c r="Z10" s="85">
        <f t="shared" si="0"/>
        <v>127.17630853994491</v>
      </c>
      <c r="AA10" s="85">
        <f t="shared" si="0"/>
        <v>126.64374140302613</v>
      </c>
      <c r="AB10" s="85">
        <f t="shared" si="0"/>
        <v>134.41597796143253</v>
      </c>
      <c r="AC10" s="85">
        <f t="shared" si="0"/>
        <v>133.77304964539007</v>
      </c>
      <c r="AD10" s="85">
        <f t="shared" si="0"/>
        <v>136.87189398122584</v>
      </c>
      <c r="AE10" s="85">
        <f t="shared" si="0"/>
        <v>138.16707359609347</v>
      </c>
      <c r="AF10" s="85">
        <f t="shared" si="0"/>
        <v>129.36967091310433</v>
      </c>
      <c r="AG10" s="85">
        <f t="shared" si="0"/>
        <v>142.2990126939351</v>
      </c>
      <c r="AH10" s="85">
        <f t="shared" si="0"/>
        <v>160.42119565217394</v>
      </c>
      <c r="AI10" s="85">
        <f t="shared" si="0"/>
        <v>147.98934753661786</v>
      </c>
      <c r="AJ10" s="85">
        <f t="shared" si="0"/>
        <v>149.11957875665271</v>
      </c>
      <c r="AK10" s="85">
        <f t="shared" si="0"/>
        <v>151.14450867052022</v>
      </c>
      <c r="AL10" s="85">
        <f t="shared" si="0"/>
        <v>153.7835431769045</v>
      </c>
      <c r="AM10" s="85">
        <f t="shared" si="0"/>
        <v>164.67924528301887</v>
      </c>
      <c r="AN10" s="209">
        <v>152.8</v>
      </c>
      <c r="AO10" s="209">
        <v>147.17</v>
      </c>
      <c r="AP10" s="209">
        <v>123.11</v>
      </c>
      <c r="AQ10" s="209">
        <v>158.1</v>
      </c>
      <c r="AR10" s="209">
        <v>171.02</v>
      </c>
      <c r="AS10" s="209">
        <v>168.449</v>
      </c>
      <c r="AT10" s="209">
        <v>174.64</v>
      </c>
      <c r="AU10" s="209">
        <v>176.6</v>
      </c>
      <c r="AV10" s="209">
        <v>176.4</v>
      </c>
      <c r="AW10" s="209">
        <v>167.5</v>
      </c>
      <c r="AX10" s="140">
        <v>172</v>
      </c>
      <c r="AY10" s="140">
        <f>MIN(AI10:AX10)</f>
        <v>123.11</v>
      </c>
      <c r="AZ10" s="140">
        <f>MAX(AI10:AX10)</f>
        <v>176.6</v>
      </c>
      <c r="BB10"/>
      <c r="BC10"/>
      <c r="BD10"/>
      <c r="BE10"/>
      <c r="BF10"/>
      <c r="CC10" s="72" t="s">
        <v>87</v>
      </c>
      <c r="CE10" s="72" t="s">
        <v>88</v>
      </c>
      <c r="CG10" s="72" t="s">
        <v>89</v>
      </c>
      <c r="CJ10" s="72" t="s">
        <v>90</v>
      </c>
      <c r="CL10" s="72" t="s">
        <v>91</v>
      </c>
      <c r="CM10" s="72" t="s">
        <v>92</v>
      </c>
      <c r="CN10" s="72" t="s">
        <v>93</v>
      </c>
      <c r="CO10" s="72" t="s">
        <v>94</v>
      </c>
      <c r="CP10" s="72" t="s">
        <v>95</v>
      </c>
      <c r="CR10" s="72" t="s">
        <v>96</v>
      </c>
      <c r="CS10" s="72" t="s">
        <v>97</v>
      </c>
      <c r="CU10" s="72" t="s">
        <v>98</v>
      </c>
      <c r="CV10" s="72" t="s">
        <v>99</v>
      </c>
    </row>
    <row r="11" spans="2:92" ht="12.75">
      <c r="B11" s="195" t="s">
        <v>260</v>
      </c>
      <c r="C11" s="90">
        <f aca="true" t="shared" si="1" ref="C11:Y11">C9/C8</f>
        <v>0.8589211618257262</v>
      </c>
      <c r="D11" s="90">
        <f t="shared" si="1"/>
        <v>0.8395378690629012</v>
      </c>
      <c r="E11" s="90">
        <f t="shared" si="1"/>
        <v>0.8589580686149936</v>
      </c>
      <c r="F11" s="90">
        <f t="shared" si="1"/>
        <v>0.8451536643026005</v>
      </c>
      <c r="G11" s="90">
        <f t="shared" si="1"/>
        <v>0.8493475682087781</v>
      </c>
      <c r="H11" s="90">
        <f t="shared" si="1"/>
        <v>0.8800489596083232</v>
      </c>
      <c r="I11" s="90">
        <f t="shared" si="1"/>
        <v>0.8894348894348895</v>
      </c>
      <c r="J11" s="90">
        <f t="shared" si="1"/>
        <v>0.8690476190476191</v>
      </c>
      <c r="K11" s="90">
        <f t="shared" si="1"/>
        <v>0.8858501783590964</v>
      </c>
      <c r="L11" s="90">
        <f t="shared" si="1"/>
        <v>0.8876678876678876</v>
      </c>
      <c r="M11" s="90">
        <f t="shared" si="1"/>
        <v>0.8554817275747508</v>
      </c>
      <c r="N11" s="90">
        <f t="shared" si="1"/>
        <v>0.8931677018633541</v>
      </c>
      <c r="O11" s="90">
        <f t="shared" si="1"/>
        <v>0.9027611044417768</v>
      </c>
      <c r="P11" s="90">
        <f t="shared" si="1"/>
        <v>0.8998041264037607</v>
      </c>
      <c r="Q11" s="90">
        <f t="shared" si="1"/>
        <v>0.8988670694864048</v>
      </c>
      <c r="R11" s="90">
        <f t="shared" si="1"/>
        <v>0.8601975870165542</v>
      </c>
      <c r="S11" s="90">
        <f t="shared" si="1"/>
        <v>0.8957578606786316</v>
      </c>
      <c r="T11" s="90">
        <f t="shared" si="1"/>
        <v>0.9027317099479546</v>
      </c>
      <c r="U11" s="90">
        <f t="shared" si="1"/>
        <v>0.9060652737733192</v>
      </c>
      <c r="V11" s="90">
        <f t="shared" si="1"/>
        <v>0.9087894491306375</v>
      </c>
      <c r="W11" s="90">
        <f t="shared" si="1"/>
        <v>0.8591656994606404</v>
      </c>
      <c r="X11" s="90">
        <f t="shared" si="1"/>
        <v>0.9205809914745816</v>
      </c>
      <c r="Y11" s="90">
        <f t="shared" si="1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2" ref="AD11:AJ11">AD9/AD8</f>
        <v>0.9106108031325816</v>
      </c>
      <c r="AE11" s="90">
        <f t="shared" si="2"/>
        <v>0.9077572559366756</v>
      </c>
      <c r="AF11" s="90">
        <f t="shared" si="2"/>
        <v>0.8784917617237008</v>
      </c>
      <c r="AG11" s="90">
        <f t="shared" si="2"/>
        <v>0.9020356234096694</v>
      </c>
      <c r="AH11" s="91">
        <f>AH9/AH8</f>
        <v>0.9097651421508033</v>
      </c>
      <c r="AI11" s="91">
        <f t="shared" si="2"/>
        <v>0.9180929095354523</v>
      </c>
      <c r="AJ11" s="91">
        <f t="shared" si="2"/>
        <v>0.9019622863125103</v>
      </c>
      <c r="AK11" s="91">
        <f aca="true" t="shared" si="3" ref="AK11:AP11">AK9/AK8</f>
        <v>0.9241452991452992</v>
      </c>
      <c r="AL11" s="91">
        <f t="shared" si="3"/>
        <v>0.9143023255813953</v>
      </c>
      <c r="AM11" s="91">
        <f t="shared" si="3"/>
        <v>0.9201388888888888</v>
      </c>
      <c r="AN11" s="224">
        <f t="shared" si="3"/>
        <v>0.9229024943310657</v>
      </c>
      <c r="AO11" s="224">
        <f t="shared" si="3"/>
        <v>0.9137105549510337</v>
      </c>
      <c r="AP11" s="224">
        <f t="shared" si="3"/>
        <v>0.8978417266187051</v>
      </c>
      <c r="AQ11" s="224">
        <f aca="true" t="shared" si="4" ref="AQ11:AW11">AQ9/AQ8</f>
        <v>0.9168763102725366</v>
      </c>
      <c r="AR11" s="224">
        <f t="shared" si="4"/>
        <v>0.9174392935982341</v>
      </c>
      <c r="AS11" s="224">
        <f t="shared" si="4"/>
        <v>0.9181818181818181</v>
      </c>
      <c r="AT11" s="224">
        <f t="shared" si="4"/>
        <v>0.9227659574468084</v>
      </c>
      <c r="AU11" s="224">
        <f t="shared" si="4"/>
        <v>0.9168514412416852</v>
      </c>
      <c r="AV11" s="224">
        <f t="shared" si="4"/>
        <v>0.9145106861642294</v>
      </c>
      <c r="AW11" s="224">
        <f t="shared" si="4"/>
        <v>0.9063545150501672</v>
      </c>
      <c r="AX11" s="258">
        <f>AX9/AX8</f>
        <v>0.9085903083700441</v>
      </c>
      <c r="AY11" s="142"/>
      <c r="AZ11" s="143"/>
      <c r="BB11"/>
      <c r="BC11"/>
      <c r="BD11"/>
      <c r="BE11"/>
      <c r="BF11"/>
      <c r="CC11" s="71" t="s">
        <v>100</v>
      </c>
      <c r="CJ11" s="72" t="s">
        <v>101</v>
      </c>
      <c r="CM11" s="72" t="s">
        <v>102</v>
      </c>
      <c r="CN11" s="72" t="s">
        <v>103</v>
      </c>
    </row>
    <row r="12" spans="2:101" ht="12.75">
      <c r="B12" s="193" t="s">
        <v>252</v>
      </c>
      <c r="C12" s="200">
        <v>5671</v>
      </c>
      <c r="D12" s="200">
        <v>4701</v>
      </c>
      <c r="E12" s="200">
        <v>5841</v>
      </c>
      <c r="F12" s="200">
        <v>6289</v>
      </c>
      <c r="G12" s="200">
        <v>6505</v>
      </c>
      <c r="H12" s="200">
        <v>7268</v>
      </c>
      <c r="I12" s="200">
        <v>7928</v>
      </c>
      <c r="J12" s="200">
        <v>6639</v>
      </c>
      <c r="K12" s="200">
        <v>8119</v>
      </c>
      <c r="L12" s="200">
        <v>8235</v>
      </c>
      <c r="M12" s="200">
        <v>4174</v>
      </c>
      <c r="N12" s="200">
        <v>7672</v>
      </c>
      <c r="O12" s="200">
        <v>8875</v>
      </c>
      <c r="P12" s="200">
        <v>8225.764</v>
      </c>
      <c r="Q12" s="200">
        <v>7131.3</v>
      </c>
      <c r="R12" s="200">
        <v>4928.681</v>
      </c>
      <c r="S12" s="200">
        <v>7531.953</v>
      </c>
      <c r="T12" s="200">
        <v>7934.028</v>
      </c>
      <c r="U12" s="200">
        <v>7474.765</v>
      </c>
      <c r="V12" s="200">
        <v>9476.698</v>
      </c>
      <c r="W12" s="200">
        <v>6336.47</v>
      </c>
      <c r="X12" s="200">
        <v>10102.735</v>
      </c>
      <c r="Y12" s="200">
        <v>7373.876</v>
      </c>
      <c r="Z12" s="200">
        <v>9233</v>
      </c>
      <c r="AA12" s="200">
        <v>9207</v>
      </c>
      <c r="AB12" s="200">
        <v>9758.6</v>
      </c>
      <c r="AC12" s="201">
        <v>9431</v>
      </c>
      <c r="AD12" s="201">
        <v>9915</v>
      </c>
      <c r="AE12" s="201">
        <v>9507</v>
      </c>
      <c r="AF12" s="201">
        <v>8967</v>
      </c>
      <c r="AG12" s="201">
        <v>10089</v>
      </c>
      <c r="AH12" s="202">
        <v>11807</v>
      </c>
      <c r="AI12" s="202">
        <v>11114</v>
      </c>
      <c r="AJ12" s="202">
        <v>10535</v>
      </c>
      <c r="AK12" s="202">
        <v>13074</v>
      </c>
      <c r="AL12" s="202">
        <v>12092</v>
      </c>
      <c r="AM12" s="203">
        <v>13092</v>
      </c>
      <c r="AN12" s="203">
        <v>12447</v>
      </c>
      <c r="AO12" s="203">
        <v>12360</v>
      </c>
      <c r="AP12" s="203">
        <f aca="true" t="shared" si="5" ref="AP12:AZ12">AP9*AP10</f>
        <v>10754.8896</v>
      </c>
      <c r="AQ12" s="203">
        <f t="shared" si="5"/>
        <v>13829.007</v>
      </c>
      <c r="AR12" s="203">
        <f t="shared" si="5"/>
        <v>14215.182400000002</v>
      </c>
      <c r="AS12" s="203">
        <v>13602</v>
      </c>
      <c r="AT12" s="203">
        <f>AT9*AT10</f>
        <v>15148.273599999999</v>
      </c>
      <c r="AU12" s="203">
        <v>14609</v>
      </c>
      <c r="AV12" s="203">
        <v>14340</v>
      </c>
      <c r="AW12" s="203">
        <v>13620</v>
      </c>
      <c r="AX12" s="249">
        <v>14182</v>
      </c>
      <c r="AY12" s="249">
        <f t="shared" si="5"/>
        <v>10156.575</v>
      </c>
      <c r="AZ12" s="249">
        <f t="shared" si="5"/>
        <v>14569.5</v>
      </c>
      <c r="BB12"/>
      <c r="BC12"/>
      <c r="BD12"/>
      <c r="BE12"/>
      <c r="BF12"/>
      <c r="CC12" s="79" t="s">
        <v>22</v>
      </c>
      <c r="CD12" s="79" t="s">
        <v>22</v>
      </c>
      <c r="CE12" s="79" t="s">
        <v>22</v>
      </c>
      <c r="CF12" s="79" t="s">
        <v>22</v>
      </c>
      <c r="CG12" s="79" t="s">
        <v>22</v>
      </c>
      <c r="CH12" s="79" t="s">
        <v>22</v>
      </c>
      <c r="CI12" s="79" t="s">
        <v>22</v>
      </c>
      <c r="CJ12" s="79" t="s">
        <v>22</v>
      </c>
      <c r="CK12" s="79" t="s">
        <v>22</v>
      </c>
      <c r="CL12" s="79" t="s">
        <v>22</v>
      </c>
      <c r="CM12" s="79" t="s">
        <v>22</v>
      </c>
      <c r="CN12" s="79" t="s">
        <v>22</v>
      </c>
      <c r="CO12" s="79" t="s">
        <v>22</v>
      </c>
      <c r="CP12" s="79" t="s">
        <v>22</v>
      </c>
      <c r="CQ12" s="79" t="s">
        <v>22</v>
      </c>
      <c r="CR12" s="79" t="s">
        <v>22</v>
      </c>
      <c r="CS12" s="79" t="s">
        <v>22</v>
      </c>
      <c r="CT12" s="79" t="s">
        <v>22</v>
      </c>
      <c r="CU12" s="79" t="s">
        <v>22</v>
      </c>
      <c r="CV12" s="79" t="s">
        <v>22</v>
      </c>
      <c r="CW12" s="79" t="s">
        <v>22</v>
      </c>
    </row>
    <row r="13" spans="2:100" ht="12.75">
      <c r="B13" s="193" t="s">
        <v>253</v>
      </c>
      <c r="C13" s="200">
        <v>708</v>
      </c>
      <c r="D13" s="200">
        <v>484</v>
      </c>
      <c r="E13" s="200">
        <v>558</v>
      </c>
      <c r="F13" s="200">
        <v>633</v>
      </c>
      <c r="G13" s="200">
        <v>1136</v>
      </c>
      <c r="H13" s="200">
        <v>1436</v>
      </c>
      <c r="I13" s="200">
        <v>1710</v>
      </c>
      <c r="J13" s="200">
        <v>2035</v>
      </c>
      <c r="K13" s="200">
        <v>1392</v>
      </c>
      <c r="L13" s="200">
        <v>2537</v>
      </c>
      <c r="M13" s="200">
        <v>3523</v>
      </c>
      <c r="N13" s="200">
        <v>1006</v>
      </c>
      <c r="O13" s="200">
        <v>1648</v>
      </c>
      <c r="P13" s="200">
        <v>4040</v>
      </c>
      <c r="Q13" s="200">
        <v>4882</v>
      </c>
      <c r="R13" s="200">
        <v>4259</v>
      </c>
      <c r="S13" s="200">
        <v>1930</v>
      </c>
      <c r="T13" s="200">
        <v>1344</v>
      </c>
      <c r="U13" s="200">
        <v>1521</v>
      </c>
      <c r="V13" s="200">
        <v>1100</v>
      </c>
      <c r="W13" s="200">
        <v>2113</v>
      </c>
      <c r="X13" s="200">
        <v>850</v>
      </c>
      <c r="Y13" s="200">
        <f>X34</f>
        <v>1558.295</v>
      </c>
      <c r="Z13" s="200">
        <v>426</v>
      </c>
      <c r="AA13" s="200">
        <f>Z34</f>
        <v>883</v>
      </c>
      <c r="AB13" s="200">
        <f>AA34</f>
        <v>1308</v>
      </c>
      <c r="AC13" s="201">
        <f>AB34</f>
        <v>1787.6000000000004</v>
      </c>
      <c r="AD13" s="201">
        <f>AC34</f>
        <v>1718.1000000000004</v>
      </c>
      <c r="AE13" s="201">
        <f>AD34</f>
        <v>1900.1000000000004</v>
      </c>
      <c r="AF13" s="201">
        <v>1596</v>
      </c>
      <c r="AG13" s="201">
        <v>1087</v>
      </c>
      <c r="AH13" s="208">
        <v>958</v>
      </c>
      <c r="AI13" s="212">
        <v>2114</v>
      </c>
      <c r="AJ13" s="208">
        <v>1967</v>
      </c>
      <c r="AK13" s="212">
        <f>AJ34</f>
        <v>1304</v>
      </c>
      <c r="AL13" s="202">
        <v>1624</v>
      </c>
      <c r="AM13" s="203">
        <v>1673</v>
      </c>
      <c r="AN13" s="203">
        <f aca="true" t="shared" si="6" ref="AN13:AS13">AM34</f>
        <v>1708</v>
      </c>
      <c r="AO13" s="203">
        <f t="shared" si="6"/>
        <v>1128</v>
      </c>
      <c r="AP13" s="203">
        <f t="shared" si="6"/>
        <v>989</v>
      </c>
      <c r="AQ13" s="203">
        <f t="shared" si="6"/>
        <v>820.8896000000004</v>
      </c>
      <c r="AR13" s="203">
        <f t="shared" si="6"/>
        <v>1231.8966</v>
      </c>
      <c r="AS13" s="203">
        <f t="shared" si="6"/>
        <v>1731</v>
      </c>
      <c r="AT13" s="203">
        <v>1737</v>
      </c>
      <c r="AU13" s="203">
        <v>2293</v>
      </c>
      <c r="AV13" s="203">
        <f>AU34</f>
        <v>2140</v>
      </c>
      <c r="AW13" s="203">
        <v>2221</v>
      </c>
      <c r="AX13" s="143">
        <f>AW34</f>
        <v>1919</v>
      </c>
      <c r="AY13" s="143">
        <f>AX13</f>
        <v>1919</v>
      </c>
      <c r="AZ13" s="143">
        <f>AY13</f>
        <v>1919</v>
      </c>
      <c r="BB13"/>
      <c r="BC13"/>
      <c r="BD13"/>
      <c r="BE13"/>
      <c r="BF13"/>
      <c r="CM13" s="72" t="s">
        <v>106</v>
      </c>
      <c r="CV13" s="72" t="s">
        <v>107</v>
      </c>
    </row>
    <row r="14" spans="2:100" ht="12.75">
      <c r="B14" s="193" t="s">
        <v>254</v>
      </c>
      <c r="C14" s="213">
        <v>1</v>
      </c>
      <c r="D14" s="213">
        <v>2</v>
      </c>
      <c r="E14" s="213">
        <v>2</v>
      </c>
      <c r="F14" s="213">
        <v>2</v>
      </c>
      <c r="G14" s="213">
        <v>2</v>
      </c>
      <c r="H14" s="213">
        <v>1</v>
      </c>
      <c r="I14" s="213">
        <v>1</v>
      </c>
      <c r="J14" s="213">
        <v>1</v>
      </c>
      <c r="K14" s="213">
        <v>1</v>
      </c>
      <c r="L14" s="213">
        <v>1</v>
      </c>
      <c r="M14" s="213">
        <v>2</v>
      </c>
      <c r="N14" s="200">
        <v>2</v>
      </c>
      <c r="O14" s="200">
        <v>10</v>
      </c>
      <c r="P14" s="200">
        <v>2</v>
      </c>
      <c r="Q14" s="200">
        <v>3</v>
      </c>
      <c r="R14" s="200">
        <v>3</v>
      </c>
      <c r="S14" s="200">
        <v>2</v>
      </c>
      <c r="T14" s="200">
        <v>3</v>
      </c>
      <c r="U14" s="200">
        <v>20</v>
      </c>
      <c r="V14" s="200">
        <v>7</v>
      </c>
      <c r="W14" s="200">
        <v>21</v>
      </c>
      <c r="X14" s="200">
        <v>9.56</v>
      </c>
      <c r="Y14" s="200">
        <v>16</v>
      </c>
      <c r="Z14" s="200">
        <v>13</v>
      </c>
      <c r="AA14" s="200">
        <v>9</v>
      </c>
      <c r="AB14" s="200">
        <v>19</v>
      </c>
      <c r="AC14" s="201">
        <v>14.5</v>
      </c>
      <c r="AD14" s="201">
        <v>7</v>
      </c>
      <c r="AE14" s="201">
        <v>10</v>
      </c>
      <c r="AF14" s="201">
        <v>14</v>
      </c>
      <c r="AG14" s="201">
        <v>14</v>
      </c>
      <c r="AH14" s="208">
        <v>11</v>
      </c>
      <c r="AI14" s="208">
        <v>9</v>
      </c>
      <c r="AJ14" s="208">
        <v>12</v>
      </c>
      <c r="AK14" s="208">
        <v>20</v>
      </c>
      <c r="AL14" s="208">
        <v>14</v>
      </c>
      <c r="AM14" s="214">
        <v>8</v>
      </c>
      <c r="AN14" s="209">
        <v>28</v>
      </c>
      <c r="AO14" s="209">
        <v>29</v>
      </c>
      <c r="AP14" s="209">
        <v>160</v>
      </c>
      <c r="AQ14" s="209">
        <v>36</v>
      </c>
      <c r="AR14" s="209">
        <v>32</v>
      </c>
      <c r="AS14" s="209">
        <v>68</v>
      </c>
      <c r="AT14" s="209">
        <v>57</v>
      </c>
      <c r="AU14" s="209">
        <v>36</v>
      </c>
      <c r="AV14" s="209">
        <v>28</v>
      </c>
      <c r="AW14" s="209">
        <v>42</v>
      </c>
      <c r="AX14" s="143">
        <v>25</v>
      </c>
      <c r="AY14" s="143">
        <f>AX14</f>
        <v>25</v>
      </c>
      <c r="AZ14" s="143">
        <f>AY14</f>
        <v>25</v>
      </c>
      <c r="BB14"/>
      <c r="BC14"/>
      <c r="BD14"/>
      <c r="BE14"/>
      <c r="BF14"/>
      <c r="CC14" s="96" t="s">
        <v>109</v>
      </c>
      <c r="CE14" s="92">
        <v>844</v>
      </c>
      <c r="CG14" s="92">
        <v>2764</v>
      </c>
      <c r="CH14" s="92">
        <v>1</v>
      </c>
      <c r="CI14" s="92">
        <v>3609</v>
      </c>
      <c r="CJ14" s="92">
        <v>271</v>
      </c>
      <c r="CM14" s="92">
        <v>2482</v>
      </c>
      <c r="CN14" s="92">
        <v>2753</v>
      </c>
      <c r="CO14" s="92">
        <v>117</v>
      </c>
      <c r="CP14" s="92">
        <v>2870</v>
      </c>
      <c r="CR14" s="92">
        <v>403</v>
      </c>
      <c r="CS14" s="92">
        <f aca="true" t="shared" si="7" ref="CS14:CS37">CT14-CR14</f>
        <v>336</v>
      </c>
      <c r="CT14" s="92">
        <v>739</v>
      </c>
      <c r="CU14" s="97">
        <f aca="true" t="shared" si="8" ref="CU14:CU58">CT14/CP14</f>
        <v>0.25749128919860625</v>
      </c>
      <c r="CV14" s="98">
        <v>1.52</v>
      </c>
    </row>
    <row r="15" spans="2:100" ht="12.75">
      <c r="B15" s="193" t="s">
        <v>255</v>
      </c>
      <c r="C15" s="92">
        <f aca="true" t="shared" si="9" ref="C15:AK15">SUM(C12:C14)</f>
        <v>6380</v>
      </c>
      <c r="D15" s="92">
        <f t="shared" si="9"/>
        <v>5187</v>
      </c>
      <c r="E15" s="92">
        <f t="shared" si="9"/>
        <v>6401</v>
      </c>
      <c r="F15" s="92">
        <f t="shared" si="9"/>
        <v>6924</v>
      </c>
      <c r="G15" s="92">
        <f t="shared" si="9"/>
        <v>7643</v>
      </c>
      <c r="H15" s="92">
        <f t="shared" si="9"/>
        <v>8705</v>
      </c>
      <c r="I15" s="92">
        <f t="shared" si="9"/>
        <v>9639</v>
      </c>
      <c r="J15" s="92">
        <f t="shared" si="9"/>
        <v>8675</v>
      </c>
      <c r="K15" s="92">
        <f t="shared" si="9"/>
        <v>9512</v>
      </c>
      <c r="L15" s="92">
        <f t="shared" si="9"/>
        <v>10773</v>
      </c>
      <c r="M15" s="92">
        <f t="shared" si="9"/>
        <v>7699</v>
      </c>
      <c r="N15" s="92">
        <f t="shared" si="9"/>
        <v>8680</v>
      </c>
      <c r="O15" s="92">
        <f t="shared" si="9"/>
        <v>10533</v>
      </c>
      <c r="P15" s="92">
        <f t="shared" si="9"/>
        <v>12267.764</v>
      </c>
      <c r="Q15" s="92">
        <f t="shared" si="9"/>
        <v>12016.3</v>
      </c>
      <c r="R15" s="92">
        <f t="shared" si="9"/>
        <v>9190.681</v>
      </c>
      <c r="S15" s="92">
        <f t="shared" si="9"/>
        <v>9463.953000000001</v>
      </c>
      <c r="T15" s="92">
        <f t="shared" si="9"/>
        <v>9281.028</v>
      </c>
      <c r="U15" s="92">
        <f t="shared" si="9"/>
        <v>9015.765</v>
      </c>
      <c r="V15" s="92">
        <f t="shared" si="9"/>
        <v>10583.698</v>
      </c>
      <c r="W15" s="92">
        <f t="shared" si="9"/>
        <v>8470.470000000001</v>
      </c>
      <c r="X15" s="92">
        <f t="shared" si="9"/>
        <v>10962.295</v>
      </c>
      <c r="Y15" s="92">
        <f t="shared" si="9"/>
        <v>8948.171</v>
      </c>
      <c r="Z15" s="92">
        <f t="shared" si="9"/>
        <v>9672</v>
      </c>
      <c r="AA15" s="92">
        <f t="shared" si="9"/>
        <v>10099</v>
      </c>
      <c r="AB15" s="92">
        <f t="shared" si="9"/>
        <v>11085.6</v>
      </c>
      <c r="AC15" s="86">
        <f t="shared" si="9"/>
        <v>11233.1</v>
      </c>
      <c r="AD15" s="86">
        <f t="shared" si="9"/>
        <v>11640.1</v>
      </c>
      <c r="AE15" s="86">
        <f t="shared" si="9"/>
        <v>11417.1</v>
      </c>
      <c r="AF15" s="86">
        <f t="shared" si="9"/>
        <v>10577</v>
      </c>
      <c r="AG15" s="86">
        <f t="shared" si="9"/>
        <v>11190</v>
      </c>
      <c r="AH15" s="86">
        <f t="shared" si="9"/>
        <v>12776</v>
      </c>
      <c r="AI15" s="86">
        <f t="shared" si="9"/>
        <v>13237</v>
      </c>
      <c r="AJ15" s="86">
        <f t="shared" si="9"/>
        <v>12514</v>
      </c>
      <c r="AK15" s="93">
        <f t="shared" si="9"/>
        <v>14398</v>
      </c>
      <c r="AL15" s="93">
        <v>13729</v>
      </c>
      <c r="AM15" s="94">
        <f aca="true" t="shared" si="10" ref="AM15:AZ15">SUM(AM12:AM14)</f>
        <v>14773</v>
      </c>
      <c r="AN15" s="94">
        <f t="shared" si="10"/>
        <v>14183</v>
      </c>
      <c r="AO15" s="94">
        <f t="shared" si="10"/>
        <v>13517</v>
      </c>
      <c r="AP15" s="94">
        <f t="shared" si="10"/>
        <v>11903.8896</v>
      </c>
      <c r="AQ15" s="94">
        <f t="shared" si="10"/>
        <v>14685.8966</v>
      </c>
      <c r="AR15" s="94">
        <f t="shared" si="10"/>
        <v>15479.079000000002</v>
      </c>
      <c r="AS15" s="94">
        <v>15401</v>
      </c>
      <c r="AT15" s="94">
        <f t="shared" si="10"/>
        <v>16942.2736</v>
      </c>
      <c r="AU15" s="94">
        <v>16939</v>
      </c>
      <c r="AV15" s="94">
        <v>16509</v>
      </c>
      <c r="AW15" s="94">
        <v>15883</v>
      </c>
      <c r="AX15" s="143">
        <v>16127</v>
      </c>
      <c r="AY15" s="143">
        <f t="shared" si="10"/>
        <v>12100.575</v>
      </c>
      <c r="AZ15" s="143">
        <f t="shared" si="10"/>
        <v>16513.5</v>
      </c>
      <c r="BB15"/>
      <c r="BC15"/>
      <c r="BD15"/>
      <c r="BE15"/>
      <c r="BF15"/>
      <c r="CC15" s="96" t="s">
        <v>111</v>
      </c>
      <c r="CE15" s="92">
        <v>487</v>
      </c>
      <c r="CG15" s="92">
        <v>2981</v>
      </c>
      <c r="CH15" s="92">
        <v>1</v>
      </c>
      <c r="CI15" s="92">
        <v>3469</v>
      </c>
      <c r="CJ15" s="92">
        <v>243</v>
      </c>
      <c r="CM15" s="92">
        <v>2312</v>
      </c>
      <c r="CN15" s="92">
        <v>2555</v>
      </c>
      <c r="CO15" s="92">
        <v>145</v>
      </c>
      <c r="CP15" s="92">
        <v>2700</v>
      </c>
      <c r="CR15" s="92">
        <v>236</v>
      </c>
      <c r="CS15" s="92">
        <f t="shared" si="7"/>
        <v>533</v>
      </c>
      <c r="CT15" s="92">
        <v>769</v>
      </c>
      <c r="CU15" s="97">
        <f t="shared" si="8"/>
        <v>0.2848148148148148</v>
      </c>
      <c r="CV15" s="98">
        <v>1.52</v>
      </c>
    </row>
    <row r="16" spans="2:100" ht="12.75">
      <c r="B16" s="195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142"/>
      <c r="AY16" s="142"/>
      <c r="AZ16" s="143"/>
      <c r="BB16"/>
      <c r="BC16"/>
      <c r="BD16"/>
      <c r="BE16"/>
      <c r="BF16"/>
      <c r="CC16" s="96" t="s">
        <v>112</v>
      </c>
      <c r="CE16" s="92">
        <v>769</v>
      </c>
      <c r="CG16" s="92">
        <v>2882</v>
      </c>
      <c r="CH16" s="92">
        <v>1</v>
      </c>
      <c r="CI16" s="92">
        <v>3652</v>
      </c>
      <c r="CJ16" s="92">
        <v>241</v>
      </c>
      <c r="CM16" s="92">
        <v>2387</v>
      </c>
      <c r="CN16" s="92">
        <v>2628</v>
      </c>
      <c r="CO16" s="92">
        <v>104</v>
      </c>
      <c r="CP16" s="92">
        <v>2732</v>
      </c>
      <c r="CR16" s="92">
        <v>353</v>
      </c>
      <c r="CS16" s="92">
        <f t="shared" si="7"/>
        <v>567</v>
      </c>
      <c r="CT16" s="92">
        <v>920</v>
      </c>
      <c r="CU16" s="97">
        <f t="shared" si="8"/>
        <v>0.3367496339677892</v>
      </c>
      <c r="CV16" s="98">
        <v>1.48</v>
      </c>
    </row>
    <row r="17" spans="2:100" ht="12.75">
      <c r="B17" s="195" t="s">
        <v>264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1" ref="AF17:AK17">AF22/AF10</f>
        <v>7.698867848778855</v>
      </c>
      <c r="AG17" s="89">
        <f t="shared" si="11"/>
        <v>8.208068193081575</v>
      </c>
      <c r="AH17" s="89">
        <f t="shared" si="11"/>
        <v>8.247039891589734</v>
      </c>
      <c r="AI17" s="89">
        <f t="shared" si="11"/>
        <v>10.831860716213784</v>
      </c>
      <c r="AJ17" s="89">
        <f t="shared" si="11"/>
        <v>14.21007233032748</v>
      </c>
      <c r="AK17" s="89">
        <f t="shared" si="11"/>
        <v>20.02057518739483</v>
      </c>
      <c r="AL17" s="89">
        <f aca="true" t="shared" si="12" ref="AL17:AS17">AL22/AL10</f>
        <v>24.118315415150512</v>
      </c>
      <c r="AM17" s="89">
        <f t="shared" si="12"/>
        <v>27.878437213565537</v>
      </c>
      <c r="AN17" s="225">
        <f t="shared" si="12"/>
        <v>32.846858638743456</v>
      </c>
      <c r="AO17" s="225">
        <f t="shared" si="12"/>
        <v>33.97431541754434</v>
      </c>
      <c r="AP17" s="225">
        <f t="shared" si="12"/>
        <v>37.69799366420275</v>
      </c>
      <c r="AQ17" s="225">
        <f t="shared" si="12"/>
        <v>32.409867172675526</v>
      </c>
      <c r="AR17" s="225">
        <f t="shared" si="12"/>
        <v>30.40580049117062</v>
      </c>
      <c r="AS17" s="225">
        <f t="shared" si="12"/>
        <v>31.012353887526785</v>
      </c>
      <c r="AT17" s="225">
        <f>AT22/AT10</f>
        <v>31.10398534127348</v>
      </c>
      <c r="AU17" s="225">
        <f>AU22/AU10</f>
        <v>31.738391845979617</v>
      </c>
      <c r="AV17" s="225">
        <f>AV22/AV10</f>
        <v>30.4875283446712</v>
      </c>
      <c r="AW17" s="225">
        <f>AW22/AW10</f>
        <v>28.96716417910448</v>
      </c>
      <c r="AX17" s="250">
        <f>AX22/AX10</f>
        <v>28.77906976744186</v>
      </c>
      <c r="AY17" s="250">
        <f>AX17</f>
        <v>28.77906976744186</v>
      </c>
      <c r="AZ17" s="251">
        <f>AY17</f>
        <v>28.77906976744186</v>
      </c>
      <c r="BB17"/>
      <c r="BC17"/>
      <c r="BD17"/>
      <c r="BE17"/>
      <c r="BF17"/>
      <c r="CC17" s="96" t="s">
        <v>115</v>
      </c>
      <c r="CE17" s="92">
        <v>920</v>
      </c>
      <c r="CG17" s="92">
        <v>2708</v>
      </c>
      <c r="CH17" s="92">
        <v>1</v>
      </c>
      <c r="CI17" s="92">
        <v>3629</v>
      </c>
      <c r="CJ17" s="92">
        <v>249</v>
      </c>
      <c r="CM17" s="92">
        <v>2242</v>
      </c>
      <c r="CN17" s="92">
        <v>2491</v>
      </c>
      <c r="CO17" s="92">
        <v>103</v>
      </c>
      <c r="CP17" s="92">
        <v>2594</v>
      </c>
      <c r="CR17" s="92">
        <v>381</v>
      </c>
      <c r="CS17" s="92">
        <f t="shared" si="7"/>
        <v>654</v>
      </c>
      <c r="CT17" s="92">
        <v>1035</v>
      </c>
      <c r="CU17" s="97">
        <f t="shared" si="8"/>
        <v>0.3989976869699306</v>
      </c>
      <c r="CV17" s="98">
        <v>1.43</v>
      </c>
    </row>
    <row r="18" spans="2:100" ht="12.75">
      <c r="B18" s="195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142"/>
      <c r="AY18" s="142"/>
      <c r="AZ18" s="143"/>
      <c r="BB18"/>
      <c r="BC18"/>
      <c r="BD18"/>
      <c r="BE18"/>
      <c r="BF18"/>
      <c r="CC18" s="96" t="s">
        <v>117</v>
      </c>
      <c r="CE18" s="92">
        <v>1035</v>
      </c>
      <c r="CG18" s="92">
        <v>2873</v>
      </c>
      <c r="CH18" s="92">
        <v>1</v>
      </c>
      <c r="CI18" s="92">
        <v>3909</v>
      </c>
      <c r="CJ18" s="92">
        <v>258</v>
      </c>
      <c r="CM18" s="92">
        <v>2366</v>
      </c>
      <c r="CN18" s="92">
        <v>2624</v>
      </c>
      <c r="CO18" s="92">
        <v>120</v>
      </c>
      <c r="CP18" s="92">
        <v>2744</v>
      </c>
      <c r="CR18" s="92">
        <v>818</v>
      </c>
      <c r="CS18" s="92">
        <f t="shared" si="7"/>
        <v>347</v>
      </c>
      <c r="CT18" s="92">
        <v>1165</v>
      </c>
      <c r="CU18" s="97">
        <f t="shared" si="8"/>
        <v>0.42456268221574345</v>
      </c>
      <c r="CV18" s="98">
        <v>1.35</v>
      </c>
    </row>
    <row r="19" spans="2:100" ht="12.75">
      <c r="B19" s="193" t="s">
        <v>110</v>
      </c>
      <c r="C19" s="213">
        <v>18</v>
      </c>
      <c r="D19" s="213">
        <v>19</v>
      </c>
      <c r="E19" s="213">
        <v>20</v>
      </c>
      <c r="F19" s="213">
        <v>20</v>
      </c>
      <c r="G19" s="213">
        <v>20</v>
      </c>
      <c r="H19" s="213">
        <v>20</v>
      </c>
      <c r="I19" s="213">
        <v>20</v>
      </c>
      <c r="J19" s="213">
        <v>20</v>
      </c>
      <c r="K19" s="213">
        <v>19</v>
      </c>
      <c r="L19" s="213">
        <v>15</v>
      </c>
      <c r="M19" s="213">
        <v>19</v>
      </c>
      <c r="N19" s="200">
        <v>21</v>
      </c>
      <c r="O19" s="200">
        <v>20</v>
      </c>
      <c r="P19" s="200">
        <v>17</v>
      </c>
      <c r="Q19" s="200">
        <v>17</v>
      </c>
      <c r="R19" s="200">
        <v>18</v>
      </c>
      <c r="S19" s="200">
        <v>19</v>
      </c>
      <c r="T19" s="200">
        <v>19</v>
      </c>
      <c r="U19" s="200">
        <v>20</v>
      </c>
      <c r="V19" s="200">
        <v>19</v>
      </c>
      <c r="W19" s="200">
        <v>21</v>
      </c>
      <c r="X19" s="200">
        <v>20</v>
      </c>
      <c r="Y19" s="200">
        <v>21</v>
      </c>
      <c r="Z19" s="200">
        <v>22</v>
      </c>
      <c r="AA19" s="200">
        <v>22</v>
      </c>
      <c r="AB19" s="200">
        <v>22</v>
      </c>
      <c r="AC19" s="201">
        <v>22</v>
      </c>
      <c r="AD19" s="201">
        <v>22</v>
      </c>
      <c r="AE19" s="201">
        <v>22</v>
      </c>
      <c r="AF19" s="201">
        <v>22</v>
      </c>
      <c r="AG19" s="201">
        <v>22</v>
      </c>
      <c r="AH19" s="208">
        <v>22</v>
      </c>
      <c r="AI19" s="208">
        <v>22</v>
      </c>
      <c r="AJ19" s="208">
        <v>22</v>
      </c>
      <c r="AK19" s="208">
        <v>22</v>
      </c>
      <c r="AL19" s="208">
        <v>22</v>
      </c>
      <c r="AM19" s="203">
        <v>22</v>
      </c>
      <c r="AN19" s="203">
        <v>22</v>
      </c>
      <c r="AO19" s="203">
        <v>22</v>
      </c>
      <c r="AP19" s="203">
        <v>22</v>
      </c>
      <c r="AQ19" s="203">
        <v>22</v>
      </c>
      <c r="AR19" s="203"/>
      <c r="AS19" s="203"/>
      <c r="AT19" s="203"/>
      <c r="AU19" s="203"/>
      <c r="AV19" s="203"/>
      <c r="AW19" s="203"/>
      <c r="AX19" s="142"/>
      <c r="AY19" s="142"/>
      <c r="AZ19" s="143"/>
      <c r="BB19"/>
      <c r="BC19"/>
      <c r="BD19"/>
      <c r="BE19"/>
      <c r="BF19"/>
      <c r="CC19" s="96" t="s">
        <v>119</v>
      </c>
      <c r="CE19" s="92">
        <v>1165</v>
      </c>
      <c r="CG19" s="92">
        <v>3075</v>
      </c>
      <c r="CH19" s="92">
        <v>1</v>
      </c>
      <c r="CI19" s="92">
        <v>4241</v>
      </c>
      <c r="CJ19" s="92">
        <v>260</v>
      </c>
      <c r="CM19" s="92">
        <v>2378</v>
      </c>
      <c r="CN19" s="92">
        <v>2638</v>
      </c>
      <c r="CO19" s="92">
        <v>184</v>
      </c>
      <c r="CP19" s="92">
        <v>2822</v>
      </c>
      <c r="CR19" s="92">
        <v>932</v>
      </c>
      <c r="CS19" s="92">
        <f t="shared" si="7"/>
        <v>487</v>
      </c>
      <c r="CT19" s="92">
        <v>1419</v>
      </c>
      <c r="CU19" s="97">
        <f t="shared" si="8"/>
        <v>0.502834868887314</v>
      </c>
      <c r="CV19" s="98">
        <v>1.29</v>
      </c>
    </row>
    <row r="20" spans="2:100" ht="12.75">
      <c r="B20" s="195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142"/>
      <c r="AY20" s="142"/>
      <c r="AZ20" s="143"/>
      <c r="BB20"/>
      <c r="BC20"/>
      <c r="BD20"/>
      <c r="BE20"/>
      <c r="BF20"/>
      <c r="CC20" s="96" t="s">
        <v>120</v>
      </c>
      <c r="CE20" s="92">
        <v>1419</v>
      </c>
      <c r="CG20" s="92">
        <v>3045</v>
      </c>
      <c r="CH20" s="92">
        <v>2</v>
      </c>
      <c r="CI20" s="92">
        <v>4466</v>
      </c>
      <c r="CJ20" s="92">
        <v>263</v>
      </c>
      <c r="CM20" s="92">
        <v>2534</v>
      </c>
      <c r="CN20" s="92">
        <v>2797</v>
      </c>
      <c r="CO20" s="92">
        <v>200</v>
      </c>
      <c r="CP20" s="92">
        <v>2997</v>
      </c>
      <c r="CR20" s="92">
        <v>1101</v>
      </c>
      <c r="CS20" s="92">
        <f t="shared" si="7"/>
        <v>368</v>
      </c>
      <c r="CT20" s="92">
        <v>1469</v>
      </c>
      <c r="CU20" s="97">
        <f t="shared" si="8"/>
        <v>0.4901568234901568</v>
      </c>
      <c r="CV20" s="98">
        <v>1.11</v>
      </c>
    </row>
    <row r="21" spans="2:100" ht="12.75">
      <c r="B21" s="193" t="s">
        <v>114</v>
      </c>
      <c r="C21" s="213">
        <v>454</v>
      </c>
      <c r="D21" s="213">
        <v>478</v>
      </c>
      <c r="E21" s="213">
        <v>501</v>
      </c>
      <c r="F21" s="213">
        <v>522</v>
      </c>
      <c r="G21" s="213">
        <v>561</v>
      </c>
      <c r="H21" s="213">
        <v>588</v>
      </c>
      <c r="I21" s="213">
        <v>620</v>
      </c>
      <c r="J21" s="213">
        <v>639</v>
      </c>
      <c r="K21" s="213">
        <v>714</v>
      </c>
      <c r="L21" s="213">
        <v>840</v>
      </c>
      <c r="M21" s="213">
        <v>911</v>
      </c>
      <c r="N21" s="200">
        <v>1046</v>
      </c>
      <c r="O21" s="200">
        <v>1133</v>
      </c>
      <c r="P21" s="200">
        <v>1207</v>
      </c>
      <c r="Q21" s="200">
        <v>1226</v>
      </c>
      <c r="R21" s="200">
        <v>1275</v>
      </c>
      <c r="S21" s="200">
        <v>1337</v>
      </c>
      <c r="T21" s="200">
        <v>1354</v>
      </c>
      <c r="U21" s="200">
        <v>1434</v>
      </c>
      <c r="V21" s="200">
        <v>1492</v>
      </c>
      <c r="W21" s="200">
        <v>1567</v>
      </c>
      <c r="X21" s="200">
        <v>1684</v>
      </c>
      <c r="Y21" s="200">
        <v>1591</v>
      </c>
      <c r="Z21" s="200">
        <v>1670</v>
      </c>
      <c r="AA21" s="200">
        <v>1760</v>
      </c>
      <c r="AB21" s="200">
        <v>1824</v>
      </c>
      <c r="AC21" s="201">
        <v>1891</v>
      </c>
      <c r="AD21" s="201">
        <v>1935</v>
      </c>
      <c r="AE21" s="201">
        <v>2034</v>
      </c>
      <c r="AF21" s="201">
        <f>2340-22</f>
        <v>2318</v>
      </c>
      <c r="AG21" s="201">
        <v>2515</v>
      </c>
      <c r="AH21" s="201">
        <v>2664</v>
      </c>
      <c r="AI21" s="201">
        <v>2959</v>
      </c>
      <c r="AJ21" s="201">
        <v>3468</v>
      </c>
      <c r="AK21" s="201">
        <v>4342</v>
      </c>
      <c r="AL21" s="202">
        <v>4930</v>
      </c>
      <c r="AM21" s="203">
        <v>5939</v>
      </c>
      <c r="AN21" s="203">
        <v>6404</v>
      </c>
      <c r="AO21" s="203">
        <v>6406</v>
      </c>
      <c r="AP21" s="203">
        <v>6016</v>
      </c>
      <c r="AQ21" s="203">
        <v>6471</v>
      </c>
      <c r="AR21" s="203">
        <v>6601</v>
      </c>
      <c r="AS21" s="203">
        <v>6648</v>
      </c>
      <c r="AT21" s="203">
        <v>6885</v>
      </c>
      <c r="AU21" s="203">
        <v>7057</v>
      </c>
      <c r="AV21" s="203">
        <v>6793</v>
      </c>
      <c r="AW21" s="203">
        <v>6282</v>
      </c>
      <c r="AX21" s="147">
        <v>6375</v>
      </c>
      <c r="AY21" s="147">
        <f aca="true" t="shared" si="13" ref="AY21:AZ23">AX21</f>
        <v>6375</v>
      </c>
      <c r="AZ21" s="146">
        <f t="shared" si="13"/>
        <v>6375</v>
      </c>
      <c r="BB21"/>
      <c r="BC21"/>
      <c r="BD21"/>
      <c r="BE21"/>
      <c r="BF21"/>
      <c r="CC21" s="96" t="s">
        <v>122</v>
      </c>
      <c r="CE21" s="92">
        <v>1469</v>
      </c>
      <c r="CG21" s="92">
        <v>3356</v>
      </c>
      <c r="CH21" s="92">
        <v>1</v>
      </c>
      <c r="CI21" s="92">
        <v>4826</v>
      </c>
      <c r="CJ21" s="92">
        <v>289</v>
      </c>
      <c r="CM21" s="92">
        <v>2783</v>
      </c>
      <c r="CN21" s="92">
        <v>3072</v>
      </c>
      <c r="CO21" s="92">
        <v>230</v>
      </c>
      <c r="CP21" s="92">
        <v>3302</v>
      </c>
      <c r="CR21" s="92">
        <v>1153</v>
      </c>
      <c r="CS21" s="92">
        <f t="shared" si="7"/>
        <v>371</v>
      </c>
      <c r="CT21" s="92">
        <v>1524</v>
      </c>
      <c r="CU21" s="97">
        <f t="shared" si="8"/>
        <v>0.46153846153846156</v>
      </c>
      <c r="CV21" s="98">
        <v>1.12</v>
      </c>
    </row>
    <row r="22" spans="2:100" ht="12.75">
      <c r="B22" s="193" t="s">
        <v>230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1"/>
      <c r="AD22" s="201"/>
      <c r="AE22" s="201"/>
      <c r="AF22" s="201">
        <v>996</v>
      </c>
      <c r="AG22" s="201">
        <v>1168</v>
      </c>
      <c r="AH22" s="201">
        <v>1323</v>
      </c>
      <c r="AI22" s="201">
        <v>1603</v>
      </c>
      <c r="AJ22" s="201">
        <v>2119</v>
      </c>
      <c r="AK22" s="201">
        <v>3026</v>
      </c>
      <c r="AL22" s="202">
        <v>3709</v>
      </c>
      <c r="AM22" s="203">
        <v>4591</v>
      </c>
      <c r="AN22" s="203">
        <v>5019</v>
      </c>
      <c r="AO22" s="203">
        <v>5000</v>
      </c>
      <c r="AP22" s="203">
        <v>4641</v>
      </c>
      <c r="AQ22" s="203">
        <v>5124</v>
      </c>
      <c r="AR22" s="203">
        <v>5200</v>
      </c>
      <c r="AS22" s="203">
        <v>5224</v>
      </c>
      <c r="AT22" s="203">
        <v>5432</v>
      </c>
      <c r="AU22" s="203">
        <v>5605</v>
      </c>
      <c r="AV22" s="203">
        <v>5378</v>
      </c>
      <c r="AW22" s="203">
        <v>4852</v>
      </c>
      <c r="AX22" s="147">
        <v>4950</v>
      </c>
      <c r="AY22" s="147">
        <f t="shared" si="13"/>
        <v>4950</v>
      </c>
      <c r="AZ22" s="146">
        <f t="shared" si="13"/>
        <v>4950</v>
      </c>
      <c r="BB22"/>
      <c r="BC22"/>
      <c r="BD22"/>
      <c r="BE22"/>
      <c r="BF22"/>
      <c r="CC22" s="96" t="s">
        <v>123</v>
      </c>
      <c r="CE22" s="92">
        <v>1524</v>
      </c>
      <c r="CG22" s="92">
        <v>3825</v>
      </c>
      <c r="CH22" s="92">
        <v>1</v>
      </c>
      <c r="CI22" s="92">
        <v>5350</v>
      </c>
      <c r="CJ22" s="92">
        <v>290</v>
      </c>
      <c r="CM22" s="92">
        <v>3043</v>
      </c>
      <c r="CN22" s="92">
        <v>3333</v>
      </c>
      <c r="CO22" s="92">
        <v>230</v>
      </c>
      <c r="CP22" s="92">
        <v>3563</v>
      </c>
      <c r="CR22" s="92">
        <v>1286</v>
      </c>
      <c r="CS22" s="92">
        <f t="shared" si="7"/>
        <v>501</v>
      </c>
      <c r="CT22" s="92">
        <v>1787</v>
      </c>
      <c r="CU22" s="97">
        <f t="shared" si="8"/>
        <v>0.501543642997474</v>
      </c>
      <c r="CV22" s="98">
        <v>1.05</v>
      </c>
    </row>
    <row r="23" spans="2:100" ht="12.75">
      <c r="B23" s="195" t="s">
        <v>237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0">
        <f aca="true" t="shared" si="14" ref="AG23:AM23">(AG22/AF22)-1</f>
        <v>0.17269076305220876</v>
      </c>
      <c r="AH23" s="100">
        <f t="shared" si="14"/>
        <v>0.1327054794520548</v>
      </c>
      <c r="AI23" s="100">
        <f t="shared" si="14"/>
        <v>0.21164021164021163</v>
      </c>
      <c r="AJ23" s="100">
        <f t="shared" si="14"/>
        <v>0.32189644416718655</v>
      </c>
      <c r="AK23" s="101">
        <f t="shared" si="14"/>
        <v>0.4280320906087778</v>
      </c>
      <c r="AL23" s="101">
        <f t="shared" si="14"/>
        <v>0.22571050892267008</v>
      </c>
      <c r="AM23" s="101">
        <f t="shared" si="14"/>
        <v>0.23779994607710964</v>
      </c>
      <c r="AN23" s="101">
        <f>(AN22/AM22)-1</f>
        <v>0.09322587671531246</v>
      </c>
      <c r="AO23" s="101">
        <f>(AO22/AN22)-1</f>
        <v>-0.0037856146642757382</v>
      </c>
      <c r="AP23" s="101">
        <f>(AP22/AO22)-1</f>
        <v>-0.07179999999999997</v>
      </c>
      <c r="AQ23" s="101">
        <f aca="true" t="shared" si="15" ref="AQ23:AX23">(AQ22/AP22)-1</f>
        <v>0.10407239819004532</v>
      </c>
      <c r="AR23" s="101">
        <f t="shared" si="15"/>
        <v>0.014832162373145996</v>
      </c>
      <c r="AS23" s="101">
        <f t="shared" si="15"/>
        <v>0.004615384615384688</v>
      </c>
      <c r="AT23" s="101">
        <f t="shared" si="15"/>
        <v>0.039816232771822335</v>
      </c>
      <c r="AU23" s="101">
        <f t="shared" si="15"/>
        <v>0.031848306332842524</v>
      </c>
      <c r="AV23" s="101">
        <f t="shared" si="15"/>
        <v>-0.04049955396966998</v>
      </c>
      <c r="AW23" s="101">
        <f t="shared" si="15"/>
        <v>-0.09780587579025657</v>
      </c>
      <c r="AX23" s="227">
        <f t="shared" si="15"/>
        <v>0.020197856553998417</v>
      </c>
      <c r="AY23" s="227">
        <f t="shared" si="13"/>
        <v>0.020197856553998417</v>
      </c>
      <c r="AZ23" s="227">
        <f t="shared" si="13"/>
        <v>0.020197856553998417</v>
      </c>
      <c r="BB23"/>
      <c r="BC23"/>
      <c r="BD23"/>
      <c r="BE23"/>
      <c r="BF23"/>
      <c r="CC23" s="96" t="s">
        <v>125</v>
      </c>
      <c r="CE23" s="92">
        <v>1787</v>
      </c>
      <c r="CG23" s="92">
        <v>3907</v>
      </c>
      <c r="CH23" s="92">
        <v>1</v>
      </c>
      <c r="CI23" s="92">
        <v>5695</v>
      </c>
      <c r="CJ23" s="92">
        <v>295</v>
      </c>
      <c r="CM23" s="92">
        <v>3092</v>
      </c>
      <c r="CN23" s="92">
        <v>3387</v>
      </c>
      <c r="CO23" s="92">
        <v>292</v>
      </c>
      <c r="CP23" s="92">
        <v>3679</v>
      </c>
      <c r="CR23" s="92">
        <v>1327</v>
      </c>
      <c r="CS23" s="92">
        <f t="shared" si="7"/>
        <v>689</v>
      </c>
      <c r="CT23" s="92">
        <v>2016</v>
      </c>
      <c r="CU23" s="97">
        <f t="shared" si="8"/>
        <v>0.5479749932046751</v>
      </c>
      <c r="CV23" s="98">
        <v>1</v>
      </c>
    </row>
    <row r="24" spans="2:100" ht="12.75">
      <c r="B24" s="193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2"/>
      <c r="AI24" s="102"/>
      <c r="AJ24" s="102"/>
      <c r="AK24" s="102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142"/>
      <c r="AY24" s="142"/>
      <c r="AZ24" s="143"/>
      <c r="BB24"/>
      <c r="BC24"/>
      <c r="BD24"/>
      <c r="BE24"/>
      <c r="BF24"/>
      <c r="CC24" s="96" t="s">
        <v>126</v>
      </c>
      <c r="CE24" s="92">
        <v>2013</v>
      </c>
      <c r="CG24" s="92">
        <v>3598</v>
      </c>
      <c r="CH24" s="92">
        <v>2</v>
      </c>
      <c r="CI24" s="92">
        <v>5616</v>
      </c>
      <c r="CJ24" s="92">
        <v>315</v>
      </c>
      <c r="CM24" s="92">
        <v>3213</v>
      </c>
      <c r="CN24" s="92">
        <v>3528</v>
      </c>
      <c r="CO24" s="92">
        <v>435</v>
      </c>
      <c r="CP24" s="92">
        <v>3963</v>
      </c>
      <c r="CR24" s="92">
        <v>888</v>
      </c>
      <c r="CS24" s="92">
        <f t="shared" si="7"/>
        <v>765</v>
      </c>
      <c r="CT24" s="92">
        <v>1653</v>
      </c>
      <c r="CU24" s="97">
        <f t="shared" si="8"/>
        <v>0.417108251324754</v>
      </c>
      <c r="CV24" s="98">
        <v>1.1</v>
      </c>
    </row>
    <row r="25" spans="2:100" ht="12.75">
      <c r="B25" s="193" t="s">
        <v>116</v>
      </c>
      <c r="C25" s="200">
        <v>4181</v>
      </c>
      <c r="D25" s="200">
        <v>3180</v>
      </c>
      <c r="E25" s="200">
        <v>3582</v>
      </c>
      <c r="F25" s="200">
        <v>3602</v>
      </c>
      <c r="G25" s="200">
        <v>3730</v>
      </c>
      <c r="H25" s="200">
        <v>4274</v>
      </c>
      <c r="I25" s="200">
        <v>4563</v>
      </c>
      <c r="J25" s="200">
        <v>4232</v>
      </c>
      <c r="K25" s="200">
        <v>4245</v>
      </c>
      <c r="L25" s="200">
        <v>4573</v>
      </c>
      <c r="M25" s="200">
        <v>3876</v>
      </c>
      <c r="N25" s="200">
        <v>4115</v>
      </c>
      <c r="O25" s="200">
        <v>4114</v>
      </c>
      <c r="P25" s="200">
        <v>4669</v>
      </c>
      <c r="Q25" s="200">
        <v>4798</v>
      </c>
      <c r="R25" s="200">
        <v>3941</v>
      </c>
      <c r="S25" s="200">
        <v>4389</v>
      </c>
      <c r="T25" s="200">
        <v>4663</v>
      </c>
      <c r="U25" s="200">
        <v>4878</v>
      </c>
      <c r="V25" s="200">
        <v>5301</v>
      </c>
      <c r="W25" s="200">
        <v>4704</v>
      </c>
      <c r="X25" s="200">
        <v>5523</v>
      </c>
      <c r="Y25" s="200">
        <v>4682</v>
      </c>
      <c r="Z25" s="200">
        <v>5302</v>
      </c>
      <c r="AA25" s="200">
        <v>5505</v>
      </c>
      <c r="AB25" s="200">
        <v>5471</v>
      </c>
      <c r="AC25" s="201">
        <v>5665</v>
      </c>
      <c r="AD25" s="201">
        <v>5842</v>
      </c>
      <c r="AE25" s="201">
        <v>5868</v>
      </c>
      <c r="AF25" s="201">
        <v>5563</v>
      </c>
      <c r="AG25" s="201">
        <v>5795</v>
      </c>
      <c r="AH25" s="201">
        <v>6162</v>
      </c>
      <c r="AI25" s="201">
        <v>6141</v>
      </c>
      <c r="AJ25" s="201">
        <v>5595</v>
      </c>
      <c r="AK25" s="201">
        <v>5913</v>
      </c>
      <c r="AL25" s="202">
        <v>5246</v>
      </c>
      <c r="AM25" s="203">
        <v>5125</v>
      </c>
      <c r="AN25" s="203">
        <v>4795</v>
      </c>
      <c r="AO25" s="203">
        <v>4557</v>
      </c>
      <c r="AP25" s="203">
        <v>4315</v>
      </c>
      <c r="AQ25" s="203">
        <v>5041</v>
      </c>
      <c r="AR25" s="203">
        <v>5280</v>
      </c>
      <c r="AS25" s="203">
        <v>5114</v>
      </c>
      <c r="AT25" s="203">
        <v>5470</v>
      </c>
      <c r="AU25" s="203">
        <v>5304</v>
      </c>
      <c r="AV25" s="203">
        <v>5429</v>
      </c>
      <c r="AW25" s="203">
        <v>5903</v>
      </c>
      <c r="AX25" s="147">
        <v>5650</v>
      </c>
      <c r="AY25" s="147">
        <f>AX25</f>
        <v>5650</v>
      </c>
      <c r="AZ25" s="146">
        <f>AY25</f>
        <v>5650</v>
      </c>
      <c r="BB25"/>
      <c r="BC25"/>
      <c r="BD25"/>
      <c r="BE25"/>
      <c r="BF25"/>
      <c r="CC25" s="96" t="s">
        <v>128</v>
      </c>
      <c r="CE25" s="92">
        <v>1653</v>
      </c>
      <c r="CG25" s="92">
        <v>3606</v>
      </c>
      <c r="CH25" s="92">
        <v>1</v>
      </c>
      <c r="CI25" s="92">
        <v>5260</v>
      </c>
      <c r="CJ25" s="92">
        <v>323</v>
      </c>
      <c r="CM25" s="92">
        <v>3156</v>
      </c>
      <c r="CN25" s="92">
        <v>3479</v>
      </c>
      <c r="CO25" s="92">
        <v>416</v>
      </c>
      <c r="CP25" s="92">
        <v>3895</v>
      </c>
      <c r="CR25" s="92">
        <v>810</v>
      </c>
      <c r="CS25" s="92">
        <f t="shared" si="7"/>
        <v>555</v>
      </c>
      <c r="CT25" s="92">
        <v>1365</v>
      </c>
      <c r="CU25" s="97">
        <f t="shared" si="8"/>
        <v>0.3504492939666239</v>
      </c>
      <c r="CV25" s="98">
        <v>1.12</v>
      </c>
    </row>
    <row r="26" spans="2:100" ht="12.75">
      <c r="B26" s="193" t="s">
        <v>118</v>
      </c>
      <c r="C26" s="93">
        <f aca="true" t="shared" si="16" ref="C26:AJ26">SUM(C19,C21,C25)</f>
        <v>4653</v>
      </c>
      <c r="D26" s="93">
        <f t="shared" si="16"/>
        <v>3677</v>
      </c>
      <c r="E26" s="93">
        <f t="shared" si="16"/>
        <v>4103</v>
      </c>
      <c r="F26" s="93">
        <f t="shared" si="16"/>
        <v>4144</v>
      </c>
      <c r="G26" s="93">
        <f t="shared" si="16"/>
        <v>4311</v>
      </c>
      <c r="H26" s="93">
        <f t="shared" si="16"/>
        <v>4882</v>
      </c>
      <c r="I26" s="93">
        <f t="shared" si="16"/>
        <v>5203</v>
      </c>
      <c r="J26" s="93">
        <f t="shared" si="16"/>
        <v>4891</v>
      </c>
      <c r="K26" s="93">
        <f t="shared" si="16"/>
        <v>4978</v>
      </c>
      <c r="L26" s="93">
        <f t="shared" si="16"/>
        <v>5428</v>
      </c>
      <c r="M26" s="93">
        <f t="shared" si="16"/>
        <v>4806</v>
      </c>
      <c r="N26" s="93">
        <f t="shared" si="16"/>
        <v>5182</v>
      </c>
      <c r="O26" s="93">
        <f t="shared" si="16"/>
        <v>5267</v>
      </c>
      <c r="P26" s="93">
        <f t="shared" si="16"/>
        <v>5893</v>
      </c>
      <c r="Q26" s="93">
        <f t="shared" si="16"/>
        <v>6041</v>
      </c>
      <c r="R26" s="93">
        <f t="shared" si="16"/>
        <v>5234</v>
      </c>
      <c r="S26" s="93">
        <f t="shared" si="16"/>
        <v>5745</v>
      </c>
      <c r="T26" s="93">
        <f t="shared" si="16"/>
        <v>6036</v>
      </c>
      <c r="U26" s="93">
        <f t="shared" si="16"/>
        <v>6332</v>
      </c>
      <c r="V26" s="93">
        <f t="shared" si="16"/>
        <v>6812</v>
      </c>
      <c r="W26" s="93">
        <f t="shared" si="16"/>
        <v>6292</v>
      </c>
      <c r="X26" s="93">
        <f t="shared" si="16"/>
        <v>7227</v>
      </c>
      <c r="Y26" s="93">
        <f t="shared" si="16"/>
        <v>6294</v>
      </c>
      <c r="Z26" s="93">
        <f t="shared" si="16"/>
        <v>6994</v>
      </c>
      <c r="AA26" s="93">
        <f t="shared" si="16"/>
        <v>7287</v>
      </c>
      <c r="AB26" s="93">
        <f t="shared" si="16"/>
        <v>7317</v>
      </c>
      <c r="AC26" s="93">
        <f t="shared" si="16"/>
        <v>7578</v>
      </c>
      <c r="AD26" s="93">
        <f t="shared" si="16"/>
        <v>7799</v>
      </c>
      <c r="AE26" s="93">
        <f t="shared" si="16"/>
        <v>7924</v>
      </c>
      <c r="AF26" s="93">
        <f t="shared" si="16"/>
        <v>7903</v>
      </c>
      <c r="AG26" s="93">
        <f t="shared" si="16"/>
        <v>8332</v>
      </c>
      <c r="AH26" s="93">
        <f t="shared" si="16"/>
        <v>8848</v>
      </c>
      <c r="AI26" s="93">
        <f t="shared" si="16"/>
        <v>9122</v>
      </c>
      <c r="AJ26" s="93">
        <f t="shared" si="16"/>
        <v>9085</v>
      </c>
      <c r="AK26" s="93">
        <f aca="true" t="shared" si="17" ref="AK26:AW26">SUM(AK19,AK21,AK25)</f>
        <v>10277</v>
      </c>
      <c r="AL26" s="93">
        <f t="shared" si="17"/>
        <v>10198</v>
      </c>
      <c r="AM26" s="94">
        <f t="shared" si="17"/>
        <v>11086</v>
      </c>
      <c r="AN26" s="94">
        <f t="shared" si="17"/>
        <v>11221</v>
      </c>
      <c r="AO26" s="94">
        <f t="shared" si="17"/>
        <v>10985</v>
      </c>
      <c r="AP26" s="94">
        <f t="shared" si="17"/>
        <v>10353</v>
      </c>
      <c r="AQ26" s="94">
        <f t="shared" si="17"/>
        <v>11534</v>
      </c>
      <c r="AR26" s="94">
        <f t="shared" si="17"/>
        <v>11881</v>
      </c>
      <c r="AS26" s="94">
        <v>11763</v>
      </c>
      <c r="AT26" s="94">
        <v>12355</v>
      </c>
      <c r="AU26" s="94">
        <v>12361</v>
      </c>
      <c r="AV26" s="94">
        <f t="shared" si="17"/>
        <v>12222</v>
      </c>
      <c r="AW26" s="94">
        <f t="shared" si="17"/>
        <v>12185</v>
      </c>
      <c r="AX26" s="147">
        <f>SUM(AX19,AX21,AX25)</f>
        <v>12025</v>
      </c>
      <c r="AY26" s="147">
        <f>AX26</f>
        <v>12025</v>
      </c>
      <c r="AZ26" s="146">
        <f>AY26</f>
        <v>12025</v>
      </c>
      <c r="BB26"/>
      <c r="BC26"/>
      <c r="BD26"/>
      <c r="BE26"/>
      <c r="BF26"/>
      <c r="CC26" s="96" t="s">
        <v>130</v>
      </c>
      <c r="CE26" s="92">
        <v>1365</v>
      </c>
      <c r="CG26" s="92">
        <v>4019</v>
      </c>
      <c r="CH26" s="92">
        <v>1</v>
      </c>
      <c r="CI26" s="92">
        <v>5385</v>
      </c>
      <c r="CJ26" s="92">
        <v>339</v>
      </c>
      <c r="CM26" s="92">
        <v>3009</v>
      </c>
      <c r="CN26" s="92">
        <v>3348</v>
      </c>
      <c r="CO26" s="92">
        <v>500</v>
      </c>
      <c r="CP26" s="92">
        <v>3848</v>
      </c>
      <c r="CR26" s="92">
        <v>828</v>
      </c>
      <c r="CS26" s="92">
        <f t="shared" si="7"/>
        <v>739</v>
      </c>
      <c r="CT26" s="92">
        <v>1567</v>
      </c>
      <c r="CU26" s="97">
        <f t="shared" si="8"/>
        <v>0.4072245322245322</v>
      </c>
      <c r="CV26" s="98">
        <v>1.11</v>
      </c>
    </row>
    <row r="27" spans="2:100" ht="12.75">
      <c r="B27" s="193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0">
        <f>(AJ25/AI25)-1</f>
        <v>-0.08891060087933567</v>
      </c>
      <c r="AK27" s="100">
        <f>(AK25/AJ25)-1</f>
        <v>0.05683646112600527</v>
      </c>
      <c r="AL27" s="101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142"/>
      <c r="AY27" s="142"/>
      <c r="AZ27" s="144"/>
      <c r="BB27"/>
      <c r="BC27"/>
      <c r="BD27"/>
      <c r="BE27"/>
      <c r="BF27"/>
      <c r="CC27" s="96" t="s">
        <v>132</v>
      </c>
      <c r="CE27" s="92">
        <v>1537</v>
      </c>
      <c r="CG27" s="92">
        <v>3484</v>
      </c>
      <c r="CH27" s="92">
        <v>1</v>
      </c>
      <c r="CI27" s="92">
        <v>5022</v>
      </c>
      <c r="CJ27" s="92">
        <v>349</v>
      </c>
      <c r="CM27" s="92">
        <v>2956</v>
      </c>
      <c r="CN27" s="92">
        <v>3305</v>
      </c>
      <c r="CO27" s="92">
        <v>570</v>
      </c>
      <c r="CP27" s="92">
        <v>3875</v>
      </c>
      <c r="CR27" s="92">
        <v>541</v>
      </c>
      <c r="CS27" s="92">
        <f t="shared" si="7"/>
        <v>606</v>
      </c>
      <c r="CT27" s="92">
        <v>1147</v>
      </c>
      <c r="CU27" s="97">
        <f t="shared" si="8"/>
        <v>0.296</v>
      </c>
      <c r="CV27" s="98">
        <v>1.17</v>
      </c>
    </row>
    <row r="28" spans="2:100" ht="12.75">
      <c r="B28" s="195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142"/>
      <c r="AY28" s="142"/>
      <c r="AZ28" s="143"/>
      <c r="BB28"/>
      <c r="BC28"/>
      <c r="BD28"/>
      <c r="BE28"/>
      <c r="BF28"/>
      <c r="CC28" s="96" t="s">
        <v>134</v>
      </c>
      <c r="CE28" s="92">
        <v>1147</v>
      </c>
      <c r="CG28" s="92">
        <v>4103</v>
      </c>
      <c r="CH28" s="92">
        <v>1</v>
      </c>
      <c r="CI28" s="92">
        <v>5251</v>
      </c>
      <c r="CJ28" s="92">
        <v>360</v>
      </c>
      <c r="CM28" s="92">
        <v>3362</v>
      </c>
      <c r="CN28" s="92">
        <v>3722</v>
      </c>
      <c r="CO28" s="92">
        <v>687</v>
      </c>
      <c r="CP28" s="92">
        <v>4409</v>
      </c>
      <c r="CR28" s="92">
        <v>249</v>
      </c>
      <c r="CS28" s="92">
        <f t="shared" si="7"/>
        <v>593</v>
      </c>
      <c r="CT28" s="92">
        <v>842</v>
      </c>
      <c r="CU28" s="97">
        <f t="shared" si="8"/>
        <v>0.1909730097527784</v>
      </c>
      <c r="CV28" s="98">
        <v>1.16</v>
      </c>
    </row>
    <row r="29" spans="2:100" ht="12.75">
      <c r="B29" s="193" t="s">
        <v>121</v>
      </c>
      <c r="C29" s="200">
        <v>1243</v>
      </c>
      <c r="D29" s="200">
        <v>1149</v>
      </c>
      <c r="E29" s="200">
        <v>1664</v>
      </c>
      <c r="F29" s="200">
        <v>1645</v>
      </c>
      <c r="G29" s="200">
        <v>1896</v>
      </c>
      <c r="H29" s="200">
        <v>2113</v>
      </c>
      <c r="I29" s="200">
        <v>2402</v>
      </c>
      <c r="J29" s="200">
        <v>2391</v>
      </c>
      <c r="K29" s="200">
        <v>1997</v>
      </c>
      <c r="L29" s="200">
        <v>1821</v>
      </c>
      <c r="M29" s="200">
        <v>1886</v>
      </c>
      <c r="N29" s="200">
        <v>1850</v>
      </c>
      <c r="O29" s="200">
        <v>1227</v>
      </c>
      <c r="P29" s="200">
        <v>1492</v>
      </c>
      <c r="Q29" s="200">
        <v>1716</v>
      </c>
      <c r="R29" s="200">
        <v>2026</v>
      </c>
      <c r="S29" s="200">
        <v>2368</v>
      </c>
      <c r="T29" s="200">
        <v>1725</v>
      </c>
      <c r="U29" s="200">
        <v>1584</v>
      </c>
      <c r="V29" s="200">
        <v>1663</v>
      </c>
      <c r="W29" s="200">
        <v>1328</v>
      </c>
      <c r="X29" s="200">
        <v>2177</v>
      </c>
      <c r="Y29" s="200">
        <v>2228</v>
      </c>
      <c r="Z29" s="200">
        <v>1795</v>
      </c>
      <c r="AA29" s="200">
        <v>1504</v>
      </c>
      <c r="AB29" s="200">
        <v>1981</v>
      </c>
      <c r="AC29" s="201">
        <v>1937</v>
      </c>
      <c r="AD29" s="201">
        <v>1941</v>
      </c>
      <c r="AE29" s="201">
        <v>1905</v>
      </c>
      <c r="AF29" s="201">
        <v>1588</v>
      </c>
      <c r="AG29" s="201">
        <v>1900</v>
      </c>
      <c r="AH29" s="201">
        <v>1814</v>
      </c>
      <c r="AI29" s="201">
        <v>2147</v>
      </c>
      <c r="AJ29" s="201">
        <v>2125</v>
      </c>
      <c r="AK29" s="201">
        <v>2436</v>
      </c>
      <c r="AL29" s="202">
        <v>1858</v>
      </c>
      <c r="AM29" s="203">
        <v>1980</v>
      </c>
      <c r="AN29" s="203">
        <v>1834</v>
      </c>
      <c r="AO29" s="203">
        <v>1543</v>
      </c>
      <c r="AP29" s="203">
        <v>730</v>
      </c>
      <c r="AQ29" s="203">
        <v>1920</v>
      </c>
      <c r="AR29" s="203">
        <v>1867</v>
      </c>
      <c r="AS29" s="203">
        <v>1901</v>
      </c>
      <c r="AT29" s="203">
        <v>2294</v>
      </c>
      <c r="AU29" s="203">
        <v>2438</v>
      </c>
      <c r="AV29" s="203">
        <v>2066</v>
      </c>
      <c r="AW29" s="203">
        <v>1778</v>
      </c>
      <c r="AX29" s="147">
        <v>2600</v>
      </c>
      <c r="AY29" s="147">
        <f>AX29</f>
        <v>2600</v>
      </c>
      <c r="AZ29" s="146">
        <f>AY29</f>
        <v>2600</v>
      </c>
      <c r="BB29"/>
      <c r="BC29"/>
      <c r="BD29"/>
      <c r="BE29"/>
      <c r="BF29"/>
      <c r="CC29" s="96" t="s">
        <v>136</v>
      </c>
      <c r="CE29" s="92">
        <v>842</v>
      </c>
      <c r="CG29" s="92">
        <v>4167</v>
      </c>
      <c r="CH29" s="92">
        <v>1</v>
      </c>
      <c r="CI29" s="92">
        <v>5010</v>
      </c>
      <c r="CJ29" s="92">
        <v>364</v>
      </c>
      <c r="CM29" s="92">
        <v>3333</v>
      </c>
      <c r="CN29" s="92">
        <v>3697</v>
      </c>
      <c r="CO29" s="92">
        <v>487</v>
      </c>
      <c r="CP29" s="92">
        <v>4184</v>
      </c>
      <c r="CR29" s="92">
        <v>139</v>
      </c>
      <c r="CS29" s="92">
        <f t="shared" si="7"/>
        <v>687</v>
      </c>
      <c r="CT29" s="92">
        <v>826</v>
      </c>
      <c r="CU29" s="97">
        <f t="shared" si="8"/>
        <v>0.1974187380497132</v>
      </c>
      <c r="CV29" s="98">
        <v>1.24</v>
      </c>
    </row>
    <row r="30" spans="2:100" ht="12.75">
      <c r="B30" s="195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1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145"/>
      <c r="AY30" s="145"/>
      <c r="AZ30" s="143"/>
      <c r="BB30"/>
      <c r="BC30"/>
      <c r="BD30"/>
      <c r="BE30"/>
      <c r="BF30"/>
      <c r="CC30" s="96" t="s">
        <v>137</v>
      </c>
      <c r="CE30" s="92">
        <v>826</v>
      </c>
      <c r="CG30" s="92">
        <v>4860</v>
      </c>
      <c r="CH30" s="92">
        <v>1</v>
      </c>
      <c r="CI30" s="92">
        <v>5687</v>
      </c>
      <c r="CJ30" s="92">
        <v>362</v>
      </c>
      <c r="CM30" s="92">
        <v>3524</v>
      </c>
      <c r="CN30" s="92">
        <v>3886</v>
      </c>
      <c r="CO30" s="92">
        <v>633</v>
      </c>
      <c r="CP30" s="92">
        <v>4519</v>
      </c>
      <c r="CR30" s="92">
        <v>182</v>
      </c>
      <c r="CS30" s="92">
        <f t="shared" si="7"/>
        <v>986</v>
      </c>
      <c r="CT30" s="92">
        <v>1168</v>
      </c>
      <c r="CU30" s="97">
        <f t="shared" si="8"/>
        <v>0.25846426200486833</v>
      </c>
      <c r="CV30" s="98">
        <v>1.03</v>
      </c>
    </row>
    <row r="31" spans="2:100" ht="12.75">
      <c r="B31" s="193" t="s">
        <v>124</v>
      </c>
      <c r="C31" s="92">
        <f aca="true" t="shared" si="18" ref="C31:AG31">C26+C29</f>
        <v>5896</v>
      </c>
      <c r="D31" s="92">
        <f t="shared" si="18"/>
        <v>4826</v>
      </c>
      <c r="E31" s="92">
        <f t="shared" si="18"/>
        <v>5767</v>
      </c>
      <c r="F31" s="92">
        <f t="shared" si="18"/>
        <v>5789</v>
      </c>
      <c r="G31" s="92">
        <f t="shared" si="18"/>
        <v>6207</v>
      </c>
      <c r="H31" s="92">
        <f t="shared" si="18"/>
        <v>6995</v>
      </c>
      <c r="I31" s="92">
        <f t="shared" si="18"/>
        <v>7605</v>
      </c>
      <c r="J31" s="92">
        <f t="shared" si="18"/>
        <v>7282</v>
      </c>
      <c r="K31" s="92">
        <f t="shared" si="18"/>
        <v>6975</v>
      </c>
      <c r="L31" s="92">
        <f t="shared" si="18"/>
        <v>7249</v>
      </c>
      <c r="M31" s="92">
        <f t="shared" si="18"/>
        <v>6692</v>
      </c>
      <c r="N31" s="92">
        <f t="shared" si="18"/>
        <v>7032</v>
      </c>
      <c r="O31" s="92">
        <f t="shared" si="18"/>
        <v>6494</v>
      </c>
      <c r="P31" s="92">
        <f t="shared" si="18"/>
        <v>7385</v>
      </c>
      <c r="Q31" s="92">
        <f t="shared" si="18"/>
        <v>7757</v>
      </c>
      <c r="R31" s="92">
        <f t="shared" si="18"/>
        <v>7260</v>
      </c>
      <c r="S31" s="92">
        <f t="shared" si="18"/>
        <v>8113</v>
      </c>
      <c r="T31" s="92">
        <f t="shared" si="18"/>
        <v>7761</v>
      </c>
      <c r="U31" s="92">
        <f t="shared" si="18"/>
        <v>7916</v>
      </c>
      <c r="V31" s="92">
        <f t="shared" si="18"/>
        <v>8475</v>
      </c>
      <c r="W31" s="92">
        <f t="shared" si="18"/>
        <v>7620</v>
      </c>
      <c r="X31" s="92">
        <f t="shared" si="18"/>
        <v>9404</v>
      </c>
      <c r="Y31" s="92">
        <f t="shared" si="18"/>
        <v>8522</v>
      </c>
      <c r="Z31" s="92">
        <f t="shared" si="18"/>
        <v>8789</v>
      </c>
      <c r="AA31" s="92">
        <f t="shared" si="18"/>
        <v>8791</v>
      </c>
      <c r="AB31" s="92">
        <f t="shared" si="18"/>
        <v>9298</v>
      </c>
      <c r="AC31" s="86">
        <f t="shared" si="18"/>
        <v>9515</v>
      </c>
      <c r="AD31" s="86">
        <f t="shared" si="18"/>
        <v>9740</v>
      </c>
      <c r="AE31" s="86">
        <f t="shared" si="18"/>
        <v>9829</v>
      </c>
      <c r="AF31" s="86">
        <f t="shared" si="18"/>
        <v>9491</v>
      </c>
      <c r="AG31" s="86">
        <f t="shared" si="18"/>
        <v>10232</v>
      </c>
      <c r="AH31" s="86">
        <v>10662</v>
      </c>
      <c r="AI31" s="86">
        <f aca="true" t="shared" si="19" ref="AI31:AP31">AI26+AI29</f>
        <v>11269</v>
      </c>
      <c r="AJ31" s="86">
        <f t="shared" si="19"/>
        <v>11210</v>
      </c>
      <c r="AK31" s="87">
        <f t="shared" si="19"/>
        <v>12713</v>
      </c>
      <c r="AL31" s="93">
        <f t="shared" si="19"/>
        <v>12056</v>
      </c>
      <c r="AM31" s="94">
        <f t="shared" si="19"/>
        <v>13066</v>
      </c>
      <c r="AN31" s="94">
        <f t="shared" si="19"/>
        <v>13055</v>
      </c>
      <c r="AO31" s="94">
        <f t="shared" si="19"/>
        <v>12528</v>
      </c>
      <c r="AP31" s="94">
        <f t="shared" si="19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94">
        <f>AT26+AT29</f>
        <v>14649</v>
      </c>
      <c r="AU31" s="94">
        <v>14798</v>
      </c>
      <c r="AV31" s="94">
        <v>14288</v>
      </c>
      <c r="AW31" s="94">
        <v>13963</v>
      </c>
      <c r="AX31" s="147">
        <v>14625</v>
      </c>
      <c r="AY31" s="147">
        <f>AX31</f>
        <v>14625</v>
      </c>
      <c r="AZ31" s="146">
        <f>AY31</f>
        <v>14625</v>
      </c>
      <c r="BB31"/>
      <c r="BC31"/>
      <c r="BD31"/>
      <c r="BE31"/>
      <c r="BF31"/>
      <c r="CC31" s="96" t="s">
        <v>139</v>
      </c>
      <c r="CE31" s="92">
        <v>1168</v>
      </c>
      <c r="CG31" s="92">
        <v>4450</v>
      </c>
      <c r="CH31" s="92">
        <v>1</v>
      </c>
      <c r="CI31" s="92">
        <v>5619</v>
      </c>
      <c r="CJ31" s="92">
        <v>359</v>
      </c>
      <c r="CM31" s="92">
        <v>3607</v>
      </c>
      <c r="CN31" s="92">
        <v>3966</v>
      </c>
      <c r="CO31" s="92">
        <v>535</v>
      </c>
      <c r="CP31" s="92">
        <v>4501</v>
      </c>
      <c r="CR31" s="92">
        <v>295</v>
      </c>
      <c r="CS31" s="92">
        <f t="shared" si="7"/>
        <v>823</v>
      </c>
      <c r="CT31" s="92">
        <v>1118</v>
      </c>
      <c r="CU31" s="97">
        <f t="shared" si="8"/>
        <v>0.24838924683403688</v>
      </c>
      <c r="CV31" s="98">
        <v>1.08</v>
      </c>
    </row>
    <row r="32" spans="2:100" ht="12.75">
      <c r="B32" s="193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142"/>
      <c r="AY32" s="142"/>
      <c r="AZ32" s="144"/>
      <c r="BB32"/>
      <c r="BC32"/>
      <c r="BD32"/>
      <c r="BE32"/>
      <c r="BF32"/>
      <c r="CC32" s="96" t="s">
        <v>140</v>
      </c>
      <c r="CE32" s="92">
        <v>1118</v>
      </c>
      <c r="CG32" s="92">
        <v>4687</v>
      </c>
      <c r="CH32" s="92">
        <v>1</v>
      </c>
      <c r="CI32" s="92">
        <v>5806</v>
      </c>
      <c r="CJ32" s="92">
        <v>365</v>
      </c>
      <c r="CM32" s="92">
        <v>3825</v>
      </c>
      <c r="CN32" s="92">
        <v>4190</v>
      </c>
      <c r="CO32" s="92">
        <v>611</v>
      </c>
      <c r="CP32" s="92">
        <v>4801</v>
      </c>
      <c r="CR32" s="92">
        <v>255</v>
      </c>
      <c r="CS32" s="92">
        <f t="shared" si="7"/>
        <v>750</v>
      </c>
      <c r="CT32" s="92">
        <v>1005</v>
      </c>
      <c r="CU32" s="97">
        <f t="shared" si="8"/>
        <v>0.2093313892938971</v>
      </c>
      <c r="CV32" s="98">
        <v>1.16</v>
      </c>
    </row>
    <row r="33" spans="2:100" ht="12.75">
      <c r="B33" s="195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142"/>
      <c r="AY33" s="142"/>
      <c r="AZ33" s="143"/>
      <c r="BB33"/>
      <c r="BC33"/>
      <c r="BD33"/>
      <c r="BE33"/>
      <c r="BF33"/>
      <c r="CC33" s="96" t="s">
        <v>142</v>
      </c>
      <c r="CE33" s="92">
        <v>1005</v>
      </c>
      <c r="CG33" s="92">
        <v>4152</v>
      </c>
      <c r="CH33" s="92">
        <v>4</v>
      </c>
      <c r="CI33" s="92">
        <v>5161</v>
      </c>
      <c r="CJ33" s="92">
        <v>385</v>
      </c>
      <c r="CM33" s="92">
        <v>3593</v>
      </c>
      <c r="CN33" s="92">
        <v>3978</v>
      </c>
      <c r="CO33" s="92">
        <v>517</v>
      </c>
      <c r="CP33" s="92">
        <v>4495</v>
      </c>
      <c r="CR33" s="92">
        <v>105</v>
      </c>
      <c r="CS33" s="92">
        <f t="shared" si="7"/>
        <v>561</v>
      </c>
      <c r="CT33" s="92">
        <v>666</v>
      </c>
      <c r="CU33" s="97">
        <f t="shared" si="8"/>
        <v>0.14816462736373748</v>
      </c>
      <c r="CV33" s="98">
        <v>1.33</v>
      </c>
    </row>
    <row r="34" spans="2:100" ht="12.75">
      <c r="B34" s="193" t="s">
        <v>127</v>
      </c>
      <c r="C34" s="92">
        <f aca="true" t="shared" si="20" ref="C34:AL34">C15-C31</f>
        <v>484</v>
      </c>
      <c r="D34" s="92">
        <f t="shared" si="20"/>
        <v>361</v>
      </c>
      <c r="E34" s="92">
        <f t="shared" si="20"/>
        <v>634</v>
      </c>
      <c r="F34" s="92">
        <f t="shared" si="20"/>
        <v>1135</v>
      </c>
      <c r="G34" s="92">
        <f t="shared" si="20"/>
        <v>1436</v>
      </c>
      <c r="H34" s="92">
        <f t="shared" si="20"/>
        <v>1710</v>
      </c>
      <c r="I34" s="92">
        <f t="shared" si="20"/>
        <v>2034</v>
      </c>
      <c r="J34" s="92">
        <f t="shared" si="20"/>
        <v>1393</v>
      </c>
      <c r="K34" s="92">
        <f t="shared" si="20"/>
        <v>2537</v>
      </c>
      <c r="L34" s="92">
        <f t="shared" si="20"/>
        <v>3524</v>
      </c>
      <c r="M34" s="92">
        <f t="shared" si="20"/>
        <v>1007</v>
      </c>
      <c r="N34" s="92">
        <f t="shared" si="20"/>
        <v>1648</v>
      </c>
      <c r="O34" s="92">
        <f t="shared" si="20"/>
        <v>4039</v>
      </c>
      <c r="P34" s="92">
        <f t="shared" si="20"/>
        <v>4882.763999999999</v>
      </c>
      <c r="Q34" s="92">
        <f t="shared" si="20"/>
        <v>4259.299999999999</v>
      </c>
      <c r="R34" s="92">
        <f t="shared" si="20"/>
        <v>1930.6810000000005</v>
      </c>
      <c r="S34" s="92">
        <f t="shared" si="20"/>
        <v>1350.9530000000013</v>
      </c>
      <c r="T34" s="92">
        <f t="shared" si="20"/>
        <v>1520.0280000000002</v>
      </c>
      <c r="U34" s="92">
        <f t="shared" si="20"/>
        <v>1099.7649999999994</v>
      </c>
      <c r="V34" s="92">
        <f t="shared" si="20"/>
        <v>2108.6980000000003</v>
      </c>
      <c r="W34" s="92">
        <f t="shared" si="20"/>
        <v>850.4700000000012</v>
      </c>
      <c r="X34" s="92">
        <f t="shared" si="20"/>
        <v>1558.295</v>
      </c>
      <c r="Y34" s="92">
        <f t="shared" si="20"/>
        <v>426.1710000000003</v>
      </c>
      <c r="Z34" s="92">
        <f t="shared" si="20"/>
        <v>883</v>
      </c>
      <c r="AA34" s="92">
        <f t="shared" si="20"/>
        <v>1308</v>
      </c>
      <c r="AB34" s="92">
        <f t="shared" si="20"/>
        <v>1787.6000000000004</v>
      </c>
      <c r="AC34" s="86">
        <f t="shared" si="20"/>
        <v>1718.1000000000004</v>
      </c>
      <c r="AD34" s="86">
        <f t="shared" si="20"/>
        <v>1900.1000000000004</v>
      </c>
      <c r="AE34" s="86">
        <f t="shared" si="20"/>
        <v>1588.1000000000004</v>
      </c>
      <c r="AF34" s="86">
        <f t="shared" si="20"/>
        <v>1086</v>
      </c>
      <c r="AG34" s="86">
        <f t="shared" si="20"/>
        <v>958</v>
      </c>
      <c r="AH34" s="86">
        <f t="shared" si="20"/>
        <v>2114</v>
      </c>
      <c r="AI34" s="86">
        <f t="shared" si="20"/>
        <v>1968</v>
      </c>
      <c r="AJ34" s="86">
        <f t="shared" si="20"/>
        <v>1304</v>
      </c>
      <c r="AK34" s="86">
        <f t="shared" si="20"/>
        <v>1685</v>
      </c>
      <c r="AL34" s="86">
        <f t="shared" si="20"/>
        <v>1673</v>
      </c>
      <c r="AM34" s="86">
        <v>1708</v>
      </c>
      <c r="AN34" s="103">
        <f aca="true" t="shared" si="21" ref="AN34:AZ34">AN15-AN31</f>
        <v>1128</v>
      </c>
      <c r="AO34" s="103">
        <f t="shared" si="21"/>
        <v>989</v>
      </c>
      <c r="AP34" s="103">
        <f t="shared" si="21"/>
        <v>820.8896000000004</v>
      </c>
      <c r="AQ34" s="103">
        <f t="shared" si="21"/>
        <v>1231.8966</v>
      </c>
      <c r="AR34" s="103">
        <v>1731</v>
      </c>
      <c r="AS34" s="103">
        <f t="shared" si="21"/>
        <v>1737</v>
      </c>
      <c r="AT34" s="103">
        <f>AT15-AT31</f>
        <v>2293.2736000000004</v>
      </c>
      <c r="AU34" s="203">
        <v>2140</v>
      </c>
      <c r="AV34" s="203">
        <v>2221</v>
      </c>
      <c r="AW34" s="203">
        <v>1919</v>
      </c>
      <c r="AX34" s="146">
        <v>1502</v>
      </c>
      <c r="AY34" s="146">
        <f>AY15-AY31</f>
        <v>-2524.4249999999993</v>
      </c>
      <c r="AZ34" s="146">
        <f t="shared" si="21"/>
        <v>1888.5</v>
      </c>
      <c r="BB34"/>
      <c r="BC34"/>
      <c r="BD34"/>
      <c r="BE34"/>
      <c r="BF34"/>
      <c r="CC34" s="96" t="s">
        <v>144</v>
      </c>
      <c r="CE34" s="92">
        <v>666</v>
      </c>
      <c r="CG34" s="92">
        <v>5646</v>
      </c>
      <c r="CH34" s="92">
        <v>2</v>
      </c>
      <c r="CI34" s="92">
        <v>6314</v>
      </c>
      <c r="CJ34" s="92">
        <v>409</v>
      </c>
      <c r="CM34" s="92">
        <v>3982</v>
      </c>
      <c r="CN34" s="92">
        <v>4391</v>
      </c>
      <c r="CO34" s="92">
        <v>796</v>
      </c>
      <c r="CP34" s="92">
        <v>5187</v>
      </c>
      <c r="CR34" s="92">
        <v>160</v>
      </c>
      <c r="CS34" s="92">
        <f t="shared" si="7"/>
        <v>967</v>
      </c>
      <c r="CT34" s="92">
        <v>1127</v>
      </c>
      <c r="CU34" s="97">
        <f t="shared" si="8"/>
        <v>0.21727395411605938</v>
      </c>
      <c r="CV34" s="98">
        <v>1.085</v>
      </c>
    </row>
    <row r="35" spans="2:100" ht="12.75">
      <c r="B35" s="73" t="s">
        <v>231</v>
      </c>
      <c r="AH35" s="104">
        <f>AH15-AH32</f>
        <v>12776</v>
      </c>
      <c r="AI35" s="104">
        <f>AI15-AI32</f>
        <v>13237</v>
      </c>
      <c r="AJ35" s="104">
        <f>AJ15-AJ32</f>
        <v>12514</v>
      </c>
      <c r="AK35" s="104"/>
      <c r="AL35" s="87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47"/>
      <c r="AY35" s="147"/>
      <c r="AZ35" s="146"/>
      <c r="BB35"/>
      <c r="BC35"/>
      <c r="BD35"/>
      <c r="BE35"/>
      <c r="BF35"/>
      <c r="CC35" s="96" t="s">
        <v>146</v>
      </c>
      <c r="CE35" s="92">
        <v>1127</v>
      </c>
      <c r="CG35" s="92">
        <v>5580</v>
      </c>
      <c r="CH35" s="92">
        <v>1</v>
      </c>
      <c r="CI35" s="92">
        <v>6708</v>
      </c>
      <c r="CJ35" s="92">
        <v>450</v>
      </c>
      <c r="CM35" s="92">
        <v>4292</v>
      </c>
      <c r="CN35" s="92">
        <v>4742</v>
      </c>
      <c r="CO35" s="92">
        <v>1258</v>
      </c>
      <c r="CP35" s="92">
        <v>6000</v>
      </c>
      <c r="CR35" s="92">
        <v>79</v>
      </c>
      <c r="CS35" s="92">
        <f t="shared" si="7"/>
        <v>629</v>
      </c>
      <c r="CT35" s="92">
        <v>708</v>
      </c>
      <c r="CU35" s="97">
        <f t="shared" si="8"/>
        <v>0.118</v>
      </c>
      <c r="CV35" s="98">
        <v>1.57</v>
      </c>
    </row>
    <row r="36" spans="2:100" ht="12.75">
      <c r="B36" s="193" t="s">
        <v>129</v>
      </c>
      <c r="C36" s="92">
        <f aca="true" t="shared" si="22" ref="C36:AB36">C34-SUM(C37:C39)</f>
        <v>473</v>
      </c>
      <c r="D36" s="92">
        <f t="shared" si="22"/>
        <v>358</v>
      </c>
      <c r="E36" s="92">
        <f t="shared" si="22"/>
        <v>602</v>
      </c>
      <c r="F36" s="92">
        <f t="shared" si="22"/>
        <v>992</v>
      </c>
      <c r="G36" s="92">
        <f t="shared" si="22"/>
        <v>740</v>
      </c>
      <c r="H36" s="92">
        <f t="shared" si="22"/>
        <v>866</v>
      </c>
      <c r="I36" s="92">
        <f t="shared" si="22"/>
        <v>988</v>
      </c>
      <c r="J36" s="92">
        <f t="shared" si="22"/>
        <v>801</v>
      </c>
      <c r="K36" s="92">
        <f t="shared" si="22"/>
        <v>539</v>
      </c>
      <c r="L36" s="92">
        <f t="shared" si="22"/>
        <v>362</v>
      </c>
      <c r="M36" s="92">
        <f t="shared" si="22"/>
        <v>313</v>
      </c>
      <c r="N36" s="92">
        <f t="shared" si="22"/>
        <v>377</v>
      </c>
      <c r="O36" s="92">
        <f t="shared" si="22"/>
        <v>193</v>
      </c>
      <c r="P36" s="92">
        <f t="shared" si="22"/>
        <v>-160.2360000000008</v>
      </c>
      <c r="Q36" s="92">
        <f t="shared" si="22"/>
        <v>1369.2999999999993</v>
      </c>
      <c r="R36" s="92">
        <f t="shared" si="22"/>
        <v>507.6810000000005</v>
      </c>
      <c r="S36" s="92">
        <f t="shared" si="22"/>
        <v>618.9530000000013</v>
      </c>
      <c r="T36" s="92">
        <f t="shared" si="22"/>
        <v>937.0280000000002</v>
      </c>
      <c r="U36" s="92">
        <f t="shared" si="22"/>
        <v>790.7649999999994</v>
      </c>
      <c r="V36" s="92">
        <f t="shared" si="22"/>
        <v>1346.6980000000003</v>
      </c>
      <c r="W36" s="92">
        <f t="shared" si="22"/>
        <v>609.4700000000012</v>
      </c>
      <c r="X36" s="92">
        <f t="shared" si="22"/>
        <v>1090.295</v>
      </c>
      <c r="Y36" s="92">
        <f t="shared" si="22"/>
        <v>363.1710000000003</v>
      </c>
      <c r="Z36" s="92">
        <f t="shared" si="22"/>
        <v>702</v>
      </c>
      <c r="AA36" s="92">
        <f t="shared" si="22"/>
        <v>994</v>
      </c>
      <c r="AB36" s="92">
        <f t="shared" si="22"/>
        <v>1384.6000000000004</v>
      </c>
      <c r="AC36" s="86">
        <f aca="true" t="shared" si="23" ref="AC36:AH36">AC34-SUM(AC37:AC39)</f>
        <v>1312.1000000000004</v>
      </c>
      <c r="AD36" s="86">
        <f t="shared" si="23"/>
        <v>1639.1000000000004</v>
      </c>
      <c r="AE36" s="86">
        <f t="shared" si="23"/>
        <v>1369.1000000000004</v>
      </c>
      <c r="AF36" s="86">
        <f t="shared" si="23"/>
        <v>805</v>
      </c>
      <c r="AG36" s="86">
        <f t="shared" si="23"/>
        <v>794</v>
      </c>
      <c r="AH36" s="86">
        <f t="shared" si="23"/>
        <v>1833</v>
      </c>
      <c r="AI36" s="86">
        <f aca="true" t="shared" si="24" ref="AI36:AO36">AI34</f>
        <v>1968</v>
      </c>
      <c r="AJ36" s="86">
        <f t="shared" si="24"/>
        <v>1304</v>
      </c>
      <c r="AK36" s="87">
        <f t="shared" si="24"/>
        <v>1685</v>
      </c>
      <c r="AL36" s="93">
        <f t="shared" si="24"/>
        <v>1673</v>
      </c>
      <c r="AM36" s="103">
        <f>AM34</f>
        <v>1708</v>
      </c>
      <c r="AN36" s="103">
        <f t="shared" si="24"/>
        <v>1128</v>
      </c>
      <c r="AO36" s="103">
        <f t="shared" si="24"/>
        <v>989</v>
      </c>
      <c r="AP36" s="103">
        <f>AP34</f>
        <v>820.8896000000004</v>
      </c>
      <c r="AQ36" s="103">
        <f>AQ34</f>
        <v>1231.8966</v>
      </c>
      <c r="AR36" s="103">
        <f>AR34</f>
        <v>1731</v>
      </c>
      <c r="AS36" s="103">
        <f>AS34</f>
        <v>1737</v>
      </c>
      <c r="AT36" s="103">
        <f>AT34</f>
        <v>2293.2736000000004</v>
      </c>
      <c r="AU36" s="103"/>
      <c r="AV36" s="103"/>
      <c r="AW36" s="103"/>
      <c r="AX36" s="254"/>
      <c r="AY36" s="146"/>
      <c r="AZ36" s="146"/>
      <c r="BB36"/>
      <c r="BC36"/>
      <c r="BD36"/>
      <c r="BE36"/>
      <c r="BF36"/>
      <c r="CC36" s="96" t="s">
        <v>148</v>
      </c>
      <c r="CE36" s="92">
        <v>708</v>
      </c>
      <c r="CG36" s="92">
        <v>5671</v>
      </c>
      <c r="CH36" s="92">
        <v>1</v>
      </c>
      <c r="CI36" s="92">
        <v>6380</v>
      </c>
      <c r="CJ36" s="92">
        <v>472</v>
      </c>
      <c r="CM36" s="92">
        <v>4181</v>
      </c>
      <c r="CN36" s="92">
        <v>4653</v>
      </c>
      <c r="CO36" s="92">
        <v>1243</v>
      </c>
      <c r="CP36" s="92">
        <v>5896</v>
      </c>
      <c r="CR36" s="92">
        <v>7</v>
      </c>
      <c r="CS36" s="92">
        <f t="shared" si="7"/>
        <v>477</v>
      </c>
      <c r="CT36" s="92">
        <v>484</v>
      </c>
      <c r="CU36" s="97">
        <f t="shared" si="8"/>
        <v>0.08208955223880597</v>
      </c>
      <c r="CV36" s="98">
        <v>2.55</v>
      </c>
    </row>
    <row r="37" spans="2:100" ht="12.75">
      <c r="B37" s="193" t="s">
        <v>131</v>
      </c>
      <c r="C37" s="200">
        <v>0</v>
      </c>
      <c r="D37" s="200">
        <v>0</v>
      </c>
      <c r="E37" s="200">
        <v>0</v>
      </c>
      <c r="F37" s="200">
        <v>0</v>
      </c>
      <c r="G37" s="200">
        <v>212</v>
      </c>
      <c r="H37" s="200">
        <v>585</v>
      </c>
      <c r="I37" s="200">
        <v>670</v>
      </c>
      <c r="J37" s="200">
        <v>0</v>
      </c>
      <c r="K37" s="200">
        <v>1276</v>
      </c>
      <c r="L37" s="200">
        <v>1890</v>
      </c>
      <c r="M37" s="200">
        <v>447</v>
      </c>
      <c r="N37" s="200">
        <v>389</v>
      </c>
      <c r="O37" s="200">
        <v>711</v>
      </c>
      <c r="P37" s="200">
        <v>1498</v>
      </c>
      <c r="Q37" s="200">
        <v>1127</v>
      </c>
      <c r="R37" s="200">
        <v>724</v>
      </c>
      <c r="S37" s="200">
        <v>387</v>
      </c>
      <c r="T37" s="200">
        <v>3</v>
      </c>
      <c r="U37" s="200">
        <v>0</v>
      </c>
      <c r="V37" s="200">
        <v>13</v>
      </c>
      <c r="W37" s="200">
        <v>119</v>
      </c>
      <c r="X37" s="200">
        <v>78</v>
      </c>
      <c r="Y37" s="200">
        <v>0</v>
      </c>
      <c r="Z37" s="200"/>
      <c r="AA37" s="200"/>
      <c r="AB37" s="200"/>
      <c r="AC37" s="201"/>
      <c r="AD37" s="201">
        <v>0</v>
      </c>
      <c r="AE37" s="201">
        <v>0</v>
      </c>
      <c r="AF37" s="201">
        <v>0</v>
      </c>
      <c r="AG37" s="201">
        <v>0</v>
      </c>
      <c r="AH37" s="208"/>
      <c r="AI37" s="208"/>
      <c r="AJ37" s="208"/>
      <c r="AK37" s="208"/>
      <c r="AL37" s="208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28"/>
      <c r="AY37" s="147"/>
      <c r="AZ37" s="146"/>
      <c r="BB37"/>
      <c r="BC37"/>
      <c r="BD37"/>
      <c r="BE37"/>
      <c r="BF37"/>
      <c r="CC37" s="96" t="s">
        <v>149</v>
      </c>
      <c r="CE37" s="92">
        <v>484</v>
      </c>
      <c r="CG37" s="92">
        <v>4701</v>
      </c>
      <c r="CH37" s="92">
        <v>2</v>
      </c>
      <c r="CI37" s="92">
        <v>5187</v>
      </c>
      <c r="CJ37" s="92">
        <v>497</v>
      </c>
      <c r="CM37" s="92">
        <v>3180</v>
      </c>
      <c r="CN37" s="92">
        <v>3677</v>
      </c>
      <c r="CO37" s="92">
        <v>1149</v>
      </c>
      <c r="CP37" s="92">
        <v>4826</v>
      </c>
      <c r="CR37" s="92">
        <v>0</v>
      </c>
      <c r="CS37" s="92">
        <f t="shared" si="7"/>
        <v>361</v>
      </c>
      <c r="CT37" s="92">
        <v>361</v>
      </c>
      <c r="CU37" s="97">
        <f t="shared" si="8"/>
        <v>0.07480314960629922</v>
      </c>
      <c r="CV37" s="98">
        <v>3.02</v>
      </c>
    </row>
    <row r="38" spans="2:100" ht="12.75">
      <c r="B38" s="193" t="s">
        <v>133</v>
      </c>
      <c r="C38" s="200">
        <v>4</v>
      </c>
      <c r="D38" s="200">
        <v>3</v>
      </c>
      <c r="E38" s="200">
        <v>0</v>
      </c>
      <c r="F38" s="200">
        <v>0</v>
      </c>
      <c r="G38" s="200">
        <v>4</v>
      </c>
      <c r="H38" s="200">
        <v>101</v>
      </c>
      <c r="I38" s="200">
        <v>260</v>
      </c>
      <c r="J38" s="200">
        <v>242</v>
      </c>
      <c r="K38" s="200">
        <v>280</v>
      </c>
      <c r="L38" s="200">
        <v>1143</v>
      </c>
      <c r="M38" s="200">
        <v>202</v>
      </c>
      <c r="N38" s="200">
        <v>225</v>
      </c>
      <c r="O38" s="200">
        <v>546</v>
      </c>
      <c r="P38" s="200">
        <v>1443</v>
      </c>
      <c r="Q38" s="200">
        <v>835</v>
      </c>
      <c r="R38" s="200">
        <v>362</v>
      </c>
      <c r="S38" s="200">
        <v>233</v>
      </c>
      <c r="T38" s="200">
        <v>371</v>
      </c>
      <c r="U38" s="200">
        <v>113</v>
      </c>
      <c r="V38" s="200">
        <v>56</v>
      </c>
      <c r="W38" s="200">
        <v>45</v>
      </c>
      <c r="X38" s="200">
        <v>42</v>
      </c>
      <c r="Y38" s="200">
        <v>30</v>
      </c>
      <c r="Z38" s="200">
        <v>2</v>
      </c>
      <c r="AA38" s="200">
        <v>4</v>
      </c>
      <c r="AB38" s="200">
        <v>12</v>
      </c>
      <c r="AC38" s="201">
        <v>14</v>
      </c>
      <c r="AD38" s="201">
        <v>8</v>
      </c>
      <c r="AE38" s="201">
        <v>6</v>
      </c>
      <c r="AF38" s="201">
        <v>4</v>
      </c>
      <c r="AG38" s="201">
        <v>0</v>
      </c>
      <c r="AH38" s="201">
        <v>1</v>
      </c>
      <c r="AI38" s="201">
        <v>0</v>
      </c>
      <c r="AJ38" s="208">
        <v>0</v>
      </c>
      <c r="AK38" s="208"/>
      <c r="AL38" s="208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28"/>
      <c r="AY38" s="147"/>
      <c r="AZ38" s="146"/>
      <c r="BB38"/>
      <c r="BC38"/>
      <c r="BD38"/>
      <c r="BE38"/>
      <c r="BF38"/>
      <c r="CC38" s="96" t="s">
        <v>150</v>
      </c>
      <c r="CE38" s="92">
        <v>558</v>
      </c>
      <c r="CG38" s="92">
        <v>5840.757</v>
      </c>
      <c r="CH38" s="92">
        <v>1.5</v>
      </c>
      <c r="CI38" s="92">
        <v>6400.257</v>
      </c>
      <c r="CJ38" s="92">
        <v>500.7</v>
      </c>
      <c r="CL38" s="92">
        <v>20.1</v>
      </c>
      <c r="CM38" s="92">
        <v>3581.857</v>
      </c>
      <c r="CN38" s="92">
        <v>4102.657</v>
      </c>
      <c r="CO38" s="92">
        <v>1664.4</v>
      </c>
      <c r="CP38" s="92">
        <v>5767.057</v>
      </c>
      <c r="CR38" s="92">
        <v>0.2</v>
      </c>
      <c r="CS38" s="92">
        <v>633</v>
      </c>
      <c r="CT38" s="92">
        <v>633.2</v>
      </c>
      <c r="CU38" s="97">
        <f t="shared" si="8"/>
        <v>0.1097960363492159</v>
      </c>
      <c r="CV38" s="98">
        <v>2.54</v>
      </c>
    </row>
    <row r="39" spans="2:100" ht="12.75">
      <c r="B39" s="193" t="s">
        <v>135</v>
      </c>
      <c r="C39" s="200">
        <v>7</v>
      </c>
      <c r="D39" s="200">
        <v>0</v>
      </c>
      <c r="E39" s="200">
        <v>32</v>
      </c>
      <c r="F39" s="200">
        <v>143</v>
      </c>
      <c r="G39" s="200">
        <v>480</v>
      </c>
      <c r="H39" s="200">
        <v>158</v>
      </c>
      <c r="I39" s="200">
        <v>116</v>
      </c>
      <c r="J39" s="200">
        <v>350</v>
      </c>
      <c r="K39" s="200">
        <v>442</v>
      </c>
      <c r="L39" s="200">
        <v>129</v>
      </c>
      <c r="M39" s="200">
        <v>45</v>
      </c>
      <c r="N39" s="200">
        <v>657</v>
      </c>
      <c r="O39" s="200">
        <v>2589</v>
      </c>
      <c r="P39" s="200">
        <v>2102</v>
      </c>
      <c r="Q39" s="200">
        <v>928</v>
      </c>
      <c r="R39" s="200">
        <v>337</v>
      </c>
      <c r="S39" s="200">
        <v>112</v>
      </c>
      <c r="T39" s="200">
        <v>209</v>
      </c>
      <c r="U39" s="200">
        <v>196</v>
      </c>
      <c r="V39" s="200">
        <v>693</v>
      </c>
      <c r="W39" s="200">
        <v>77</v>
      </c>
      <c r="X39" s="200">
        <v>348</v>
      </c>
      <c r="Y39" s="200">
        <v>33</v>
      </c>
      <c r="Z39" s="200">
        <v>179</v>
      </c>
      <c r="AA39" s="200">
        <v>310</v>
      </c>
      <c r="AB39" s="200">
        <v>391</v>
      </c>
      <c r="AC39" s="201">
        <v>392</v>
      </c>
      <c r="AD39" s="201">
        <v>253</v>
      </c>
      <c r="AE39" s="201">
        <v>213</v>
      </c>
      <c r="AF39" s="201">
        <v>277</v>
      </c>
      <c r="AG39" s="201">
        <v>164</v>
      </c>
      <c r="AH39" s="201">
        <v>280</v>
      </c>
      <c r="AI39" s="201">
        <v>171</v>
      </c>
      <c r="AJ39" s="208">
        <v>116</v>
      </c>
      <c r="AK39" s="208">
        <v>106</v>
      </c>
      <c r="AL39" s="208">
        <v>171</v>
      </c>
      <c r="AM39" s="215">
        <v>147</v>
      </c>
      <c r="AN39" s="215">
        <v>48</v>
      </c>
      <c r="AO39" s="215">
        <v>41</v>
      </c>
      <c r="AP39" s="215">
        <v>32</v>
      </c>
      <c r="AQ39" s="215">
        <v>76</v>
      </c>
      <c r="AR39" s="215">
        <v>230</v>
      </c>
      <c r="AS39" s="215"/>
      <c r="AT39" s="215"/>
      <c r="AU39" s="215"/>
      <c r="AV39" s="215"/>
      <c r="AW39" s="215"/>
      <c r="AX39" s="228"/>
      <c r="AY39" s="147"/>
      <c r="AZ39" s="146"/>
      <c r="BB39"/>
      <c r="BC39"/>
      <c r="BD39"/>
      <c r="BE39"/>
      <c r="BF39"/>
      <c r="CC39" s="96" t="s">
        <v>152</v>
      </c>
      <c r="CE39" s="92">
        <v>633.2</v>
      </c>
      <c r="CG39" s="92">
        <v>6289.169</v>
      </c>
      <c r="CH39" s="92">
        <v>2.430844</v>
      </c>
      <c r="CI39" s="92">
        <v>6924.799844</v>
      </c>
      <c r="CJ39" s="92">
        <v>522.1</v>
      </c>
      <c r="CL39" s="92">
        <v>20.1</v>
      </c>
      <c r="CM39" s="92">
        <v>3601.880515</v>
      </c>
      <c r="CN39" s="92">
        <v>4144.080515</v>
      </c>
      <c r="CO39" s="92">
        <v>1645.119329</v>
      </c>
      <c r="CP39" s="92">
        <v>5789.199844</v>
      </c>
      <c r="CR39" s="92">
        <v>0.2</v>
      </c>
      <c r="CS39" s="92">
        <v>1135.4</v>
      </c>
      <c r="CT39" s="92">
        <v>1135.6</v>
      </c>
      <c r="CU39" s="97">
        <f t="shared" si="8"/>
        <v>0.19615836913575374</v>
      </c>
      <c r="CV39" s="98">
        <v>2.15</v>
      </c>
    </row>
    <row r="40" spans="2:100" ht="12.75">
      <c r="B40" s="195"/>
      <c r="AB40" s="105"/>
      <c r="AL40" s="106"/>
      <c r="AY40" s="107"/>
      <c r="BB40"/>
      <c r="BC40"/>
      <c r="BD40"/>
      <c r="BE40"/>
      <c r="BF40"/>
      <c r="CC40" s="96" t="s">
        <v>154</v>
      </c>
      <c r="CE40" s="92">
        <v>1135.6</v>
      </c>
      <c r="CG40" s="92">
        <v>6505.041</v>
      </c>
      <c r="CH40" s="92">
        <v>2.397884</v>
      </c>
      <c r="CI40" s="92">
        <v>7643.038884</v>
      </c>
      <c r="CJ40" s="92">
        <v>561.5</v>
      </c>
      <c r="CL40" s="92">
        <v>19.5</v>
      </c>
      <c r="CM40" s="92">
        <v>3729.742273</v>
      </c>
      <c r="CN40" s="92">
        <v>4310.742273</v>
      </c>
      <c r="CO40" s="92">
        <v>1896.396611</v>
      </c>
      <c r="CP40" s="92">
        <v>6207.138884</v>
      </c>
      <c r="CR40" s="92">
        <v>3.5</v>
      </c>
      <c r="CS40" s="92">
        <v>1432.4</v>
      </c>
      <c r="CT40" s="92">
        <v>1435.9</v>
      </c>
      <c r="CU40" s="97">
        <f t="shared" si="8"/>
        <v>0.23133041274479724</v>
      </c>
      <c r="CV40" s="98">
        <v>2.02</v>
      </c>
    </row>
    <row r="41" spans="2:100" ht="12.75">
      <c r="B41" s="108" t="s">
        <v>138</v>
      </c>
      <c r="C41" s="109">
        <f aca="true" t="shared" si="25" ref="C41:AZ41">C34/C31</f>
        <v>0.08208955223880597</v>
      </c>
      <c r="D41" s="109">
        <f t="shared" si="25"/>
        <v>0.07480314960629922</v>
      </c>
      <c r="E41" s="109">
        <f t="shared" si="25"/>
        <v>0.10993584185885209</v>
      </c>
      <c r="F41" s="109">
        <f t="shared" si="25"/>
        <v>0.19606149594057695</v>
      </c>
      <c r="G41" s="109">
        <f t="shared" si="25"/>
        <v>0.231351699693894</v>
      </c>
      <c r="H41" s="109">
        <f t="shared" si="25"/>
        <v>0.2444603288062902</v>
      </c>
      <c r="I41" s="109">
        <f t="shared" si="25"/>
        <v>0.26745562130177514</v>
      </c>
      <c r="J41" s="109">
        <f t="shared" si="25"/>
        <v>0.19129360065915957</v>
      </c>
      <c r="K41" s="109">
        <f t="shared" si="25"/>
        <v>0.36372759856630826</v>
      </c>
      <c r="L41" s="109">
        <f t="shared" si="25"/>
        <v>0.48613601876120843</v>
      </c>
      <c r="M41" s="109">
        <f t="shared" si="25"/>
        <v>0.15047818290496115</v>
      </c>
      <c r="N41" s="109">
        <f t="shared" si="25"/>
        <v>0.23435722411831628</v>
      </c>
      <c r="O41" s="109">
        <f t="shared" si="25"/>
        <v>0.6219587311364336</v>
      </c>
      <c r="P41" s="109">
        <f t="shared" si="25"/>
        <v>0.6611731888964115</v>
      </c>
      <c r="Q41" s="109">
        <f t="shared" si="25"/>
        <v>0.5490911434833053</v>
      </c>
      <c r="R41" s="109">
        <f t="shared" si="25"/>
        <v>0.2659340220385676</v>
      </c>
      <c r="S41" s="109">
        <f t="shared" si="25"/>
        <v>0.1665170713669421</v>
      </c>
      <c r="T41" s="109">
        <f t="shared" si="25"/>
        <v>0.1958546579049092</v>
      </c>
      <c r="U41" s="109">
        <f t="shared" si="25"/>
        <v>0.1389293835270338</v>
      </c>
      <c r="V41" s="109">
        <f t="shared" si="25"/>
        <v>0.24881392330383484</v>
      </c>
      <c r="W41" s="109">
        <f t="shared" si="25"/>
        <v>0.1116102362204726</v>
      </c>
      <c r="X41" s="109">
        <f t="shared" si="25"/>
        <v>0.16570555082943428</v>
      </c>
      <c r="Y41" s="109">
        <f t="shared" si="25"/>
        <v>0.050008331377610925</v>
      </c>
      <c r="Z41" s="109">
        <f t="shared" si="25"/>
        <v>0.1004664922061668</v>
      </c>
      <c r="AA41" s="109">
        <f t="shared" si="25"/>
        <v>0.14878853372767603</v>
      </c>
      <c r="AB41" s="109">
        <f t="shared" si="25"/>
        <v>0.19225639922563997</v>
      </c>
      <c r="AC41" s="109">
        <f t="shared" si="25"/>
        <v>0.1805675249605886</v>
      </c>
      <c r="AD41" s="109">
        <f t="shared" si="25"/>
        <v>0.195082135523614</v>
      </c>
      <c r="AE41" s="109">
        <f t="shared" si="25"/>
        <v>0.16157289653067458</v>
      </c>
      <c r="AF41" s="109">
        <f t="shared" si="25"/>
        <v>0.11442419133916341</v>
      </c>
      <c r="AG41" s="109">
        <f t="shared" si="25"/>
        <v>0.0936278342455043</v>
      </c>
      <c r="AH41" s="109">
        <f t="shared" si="25"/>
        <v>0.19827424498217971</v>
      </c>
      <c r="AI41" s="109">
        <f t="shared" si="25"/>
        <v>0.1746383884994232</v>
      </c>
      <c r="AJ41" s="109">
        <f t="shared" si="25"/>
        <v>0.11632471008028546</v>
      </c>
      <c r="AK41" s="109">
        <f t="shared" si="25"/>
        <v>0.13254149295996223</v>
      </c>
      <c r="AL41" s="109">
        <f>AL34/AL31</f>
        <v>0.13876907763769078</v>
      </c>
      <c r="AM41" s="109">
        <f>AM34/AM31</f>
        <v>0.130720955150773</v>
      </c>
      <c r="AN41" s="189">
        <f t="shared" si="25"/>
        <v>0.08640367675220222</v>
      </c>
      <c r="AO41" s="189">
        <f t="shared" si="25"/>
        <v>0.07894316730523628</v>
      </c>
      <c r="AP41" s="189">
        <f aca="true" t="shared" si="26" ref="AP41:AY41">AP34/AP31</f>
        <v>0.07406745466029058</v>
      </c>
      <c r="AQ41" s="189">
        <f t="shared" si="26"/>
        <v>0.09156359447004608</v>
      </c>
      <c r="AR41" s="189">
        <f t="shared" si="26"/>
        <v>0.12590922315973233</v>
      </c>
      <c r="AS41" s="189">
        <f t="shared" si="26"/>
        <v>0.12712236533957846</v>
      </c>
      <c r="AT41" s="189">
        <f t="shared" si="26"/>
        <v>0.15654813297836032</v>
      </c>
      <c r="AU41" s="189">
        <f t="shared" si="26"/>
        <v>0.1446141370455467</v>
      </c>
      <c r="AV41" s="189">
        <f t="shared" si="26"/>
        <v>0.1554451287793953</v>
      </c>
      <c r="AW41" s="189">
        <f t="shared" si="26"/>
        <v>0.13743464871445965</v>
      </c>
      <c r="AX41" s="189">
        <f t="shared" si="26"/>
        <v>0.1027008547008547</v>
      </c>
      <c r="AY41" s="109">
        <f t="shared" si="26"/>
        <v>-0.17261025641025637</v>
      </c>
      <c r="AZ41" s="109">
        <f t="shared" si="25"/>
        <v>0.12912820512820514</v>
      </c>
      <c r="BB41"/>
      <c r="BC41"/>
      <c r="BD41"/>
      <c r="BE41"/>
      <c r="BF41"/>
      <c r="CC41" s="96" t="s">
        <v>155</v>
      </c>
      <c r="CE41" s="92">
        <v>1435.9</v>
      </c>
      <c r="CG41" s="92">
        <v>7267.927</v>
      </c>
      <c r="CH41" s="92">
        <v>1.152533</v>
      </c>
      <c r="CI41" s="92">
        <v>8704.979533</v>
      </c>
      <c r="CJ41" s="92">
        <v>588.5</v>
      </c>
      <c r="CL41" s="92">
        <v>19.5</v>
      </c>
      <c r="CM41" s="92">
        <v>4274.351663</v>
      </c>
      <c r="CN41" s="92">
        <v>4882.351663</v>
      </c>
      <c r="CO41" s="92">
        <v>2113.12787</v>
      </c>
      <c r="CP41" s="92">
        <v>6995.479533</v>
      </c>
      <c r="CR41" s="92">
        <v>100.5</v>
      </c>
      <c r="CS41" s="92">
        <v>1609</v>
      </c>
      <c r="CT41" s="92">
        <v>1709.5</v>
      </c>
      <c r="CU41" s="97">
        <f t="shared" si="8"/>
        <v>0.24437209657118156</v>
      </c>
      <c r="CV41" s="98">
        <v>2.25</v>
      </c>
    </row>
    <row r="42" spans="2:100" ht="12.75">
      <c r="B42" s="78"/>
      <c r="AB42" s="110"/>
      <c r="AH42" s="99"/>
      <c r="AI42" s="99"/>
      <c r="AJ42" s="99"/>
      <c r="AK42" s="99"/>
      <c r="AL42" s="99"/>
      <c r="BB42"/>
      <c r="BC42"/>
      <c r="BD42"/>
      <c r="BE42"/>
      <c r="BF42"/>
      <c r="CC42" s="96" t="s">
        <v>156</v>
      </c>
      <c r="CE42" s="92">
        <v>1709.5</v>
      </c>
      <c r="CG42" s="92">
        <v>7928.139</v>
      </c>
      <c r="CH42" s="92">
        <v>0.720731</v>
      </c>
      <c r="CI42" s="92">
        <v>9638.359731</v>
      </c>
      <c r="CJ42" s="92">
        <v>619.5</v>
      </c>
      <c r="CL42" s="92">
        <v>20</v>
      </c>
      <c r="CM42" s="92">
        <v>4563.043434</v>
      </c>
      <c r="CN42" s="92">
        <v>5202.543434</v>
      </c>
      <c r="CO42" s="92">
        <v>2401.516297</v>
      </c>
      <c r="CP42" s="92">
        <v>7604.059731</v>
      </c>
      <c r="CR42" s="92">
        <v>260.1</v>
      </c>
      <c r="CS42" s="92">
        <v>1774.2</v>
      </c>
      <c r="CT42" s="92">
        <v>2034.3</v>
      </c>
      <c r="CU42" s="97">
        <f t="shared" si="8"/>
        <v>0.2675281457491223</v>
      </c>
      <c r="CV42" s="98">
        <v>2.48</v>
      </c>
    </row>
    <row r="43" spans="2:100" ht="12.75">
      <c r="B43" s="192" t="s">
        <v>141</v>
      </c>
      <c r="C43" s="216">
        <v>2.55</v>
      </c>
      <c r="D43" s="216">
        <v>3.02</v>
      </c>
      <c r="E43" s="216">
        <v>2.54</v>
      </c>
      <c r="F43" s="216">
        <v>2.15</v>
      </c>
      <c r="G43" s="216">
        <v>2.05</v>
      </c>
      <c r="H43" s="216">
        <v>2.25</v>
      </c>
      <c r="I43" s="216">
        <v>2.48</v>
      </c>
      <c r="J43" s="216">
        <v>3.12</v>
      </c>
      <c r="K43" s="216">
        <v>2.47</v>
      </c>
      <c r="L43" s="216">
        <v>2.55</v>
      </c>
      <c r="M43" s="216">
        <v>3.21</v>
      </c>
      <c r="N43" s="216">
        <v>2.63</v>
      </c>
      <c r="O43" s="216">
        <v>2.23</v>
      </c>
      <c r="P43" s="216">
        <v>1.5</v>
      </c>
      <c r="Q43" s="216">
        <v>1.94</v>
      </c>
      <c r="R43" s="216">
        <v>2.54</v>
      </c>
      <c r="S43" s="216">
        <v>2.36</v>
      </c>
      <c r="T43" s="216">
        <v>2.28</v>
      </c>
      <c r="U43" s="216">
        <v>2.37</v>
      </c>
      <c r="V43" s="216">
        <v>2.07</v>
      </c>
      <c r="W43" s="216">
        <v>2.5</v>
      </c>
      <c r="X43" s="216">
        <v>2.26</v>
      </c>
      <c r="Y43" s="216">
        <v>3.24</v>
      </c>
      <c r="Z43" s="216">
        <v>2.71</v>
      </c>
      <c r="AA43" s="216">
        <v>2.43</v>
      </c>
      <c r="AB43" s="216">
        <v>1.94</v>
      </c>
      <c r="AC43" s="217">
        <v>1.82</v>
      </c>
      <c r="AD43" s="217">
        <f>(1.65+2.05)/2</f>
        <v>1.8499999999999999</v>
      </c>
      <c r="AE43" s="217">
        <v>1.97</v>
      </c>
      <c r="AF43" s="217">
        <v>2.32</v>
      </c>
      <c r="AG43" s="217">
        <v>2.42</v>
      </c>
      <c r="AH43" s="217">
        <v>2.06</v>
      </c>
      <c r="AI43" s="217">
        <v>2</v>
      </c>
      <c r="AJ43" s="217">
        <v>3.04</v>
      </c>
      <c r="AK43" s="217">
        <v>4.2</v>
      </c>
      <c r="AL43" s="217">
        <v>4.08</v>
      </c>
      <c r="AM43" s="217">
        <v>3.55</v>
      </c>
      <c r="AN43" s="217">
        <v>5.18</v>
      </c>
      <c r="AO43" s="217">
        <v>6.22</v>
      </c>
      <c r="AP43" s="217">
        <v>6.89</v>
      </c>
      <c r="AQ43" s="217">
        <v>4.46</v>
      </c>
      <c r="AR43" s="217">
        <v>3.7</v>
      </c>
      <c r="AS43" s="217">
        <v>3.61</v>
      </c>
      <c r="AT43" s="217">
        <v>3.36</v>
      </c>
      <c r="AU43" s="217">
        <v>3.36</v>
      </c>
      <c r="AV43" s="217">
        <v>3.61</v>
      </c>
      <c r="AW43" s="217">
        <v>3.56</v>
      </c>
      <c r="AX43" s="217">
        <v>4.3</v>
      </c>
      <c r="AY43" s="112"/>
      <c r="AZ43" s="112"/>
      <c r="BB43"/>
      <c r="BC43"/>
      <c r="BD43"/>
      <c r="BE43"/>
      <c r="BF43"/>
      <c r="CC43" s="96" t="s">
        <v>157</v>
      </c>
      <c r="CE43" s="92">
        <v>2034.3</v>
      </c>
      <c r="CG43" s="92">
        <v>6639.396</v>
      </c>
      <c r="CH43" s="92">
        <v>0.84827</v>
      </c>
      <c r="CI43" s="92">
        <v>8674.54427</v>
      </c>
      <c r="CJ43" s="114">
        <v>639</v>
      </c>
      <c r="CL43" s="92">
        <v>20.2</v>
      </c>
      <c r="CM43" s="92">
        <v>4232.13854</v>
      </c>
      <c r="CN43" s="92">
        <v>4891.33854</v>
      </c>
      <c r="CO43" s="92">
        <v>2391.10573</v>
      </c>
      <c r="CP43" s="92">
        <v>7282.44427</v>
      </c>
      <c r="CR43" s="92">
        <v>241.8</v>
      </c>
      <c r="CS43" s="92">
        <v>1150.3</v>
      </c>
      <c r="CT43" s="92">
        <v>1392.1</v>
      </c>
      <c r="CU43" s="97">
        <f t="shared" si="8"/>
        <v>0.19115834579534652</v>
      </c>
      <c r="CV43" s="98">
        <v>3.12</v>
      </c>
    </row>
    <row r="44" spans="2:100" ht="12.75">
      <c r="B44" s="193" t="s">
        <v>143</v>
      </c>
      <c r="C44" s="218">
        <v>1.64</v>
      </c>
      <c r="D44" s="218">
        <v>1.38</v>
      </c>
      <c r="E44" s="218">
        <v>1.38</v>
      </c>
      <c r="F44" s="218">
        <v>1.57</v>
      </c>
      <c r="G44" s="218">
        <v>2</v>
      </c>
      <c r="H44" s="218">
        <v>2.1</v>
      </c>
      <c r="I44" s="218">
        <v>2.2</v>
      </c>
      <c r="J44" s="218">
        <v>2.05</v>
      </c>
      <c r="K44" s="218">
        <v>2.4</v>
      </c>
      <c r="L44" s="218">
        <v>2.7</v>
      </c>
      <c r="M44" s="218">
        <v>2.86</v>
      </c>
      <c r="N44" s="218">
        <v>3.03</v>
      </c>
      <c r="O44" s="218">
        <v>3.03</v>
      </c>
      <c r="P44" s="218">
        <v>3.03</v>
      </c>
      <c r="Q44" s="218">
        <v>3.03</v>
      </c>
      <c r="R44" s="218">
        <v>2.93</v>
      </c>
      <c r="S44" s="218">
        <v>2.84</v>
      </c>
      <c r="T44" s="218">
        <v>2.75</v>
      </c>
      <c r="U44" s="218">
        <v>2.75</v>
      </c>
      <c r="V44" s="218">
        <v>2.75</v>
      </c>
      <c r="W44" s="218">
        <v>2.75</v>
      </c>
      <c r="X44" s="218">
        <v>2.75</v>
      </c>
      <c r="Y44" s="218">
        <v>2.75</v>
      </c>
      <c r="Z44" s="218">
        <v>2.75</v>
      </c>
      <c r="AA44" s="218">
        <v>2.75</v>
      </c>
      <c r="AB44" s="219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BB44"/>
      <c r="BC44"/>
      <c r="BD44"/>
      <c r="BE44"/>
      <c r="BF44"/>
      <c r="CC44" s="96" t="s">
        <v>158</v>
      </c>
      <c r="CE44" s="92">
        <v>1392.1</v>
      </c>
      <c r="CG44" s="92">
        <v>8118.65</v>
      </c>
      <c r="CH44" s="92">
        <v>0.556675</v>
      </c>
      <c r="CI44" s="92">
        <v>9511.306675</v>
      </c>
      <c r="CJ44" s="114">
        <v>714</v>
      </c>
      <c r="CL44" s="92">
        <v>19.4</v>
      </c>
      <c r="CM44" s="92">
        <v>4244.544543</v>
      </c>
      <c r="CN44" s="92">
        <v>4977.944543</v>
      </c>
      <c r="CO44" s="92">
        <v>1996.762132</v>
      </c>
      <c r="CP44" s="92">
        <v>6974.706675</v>
      </c>
      <c r="CR44" s="92">
        <v>280.1</v>
      </c>
      <c r="CS44" s="92">
        <v>2256.5</v>
      </c>
      <c r="CT44" s="92">
        <v>2536.6</v>
      </c>
      <c r="CU44" s="97">
        <f t="shared" si="8"/>
        <v>0.3636855452419438</v>
      </c>
      <c r="CV44" s="98">
        <v>2.47</v>
      </c>
    </row>
    <row r="45" spans="2:100" ht="12.75">
      <c r="B45" s="193" t="s">
        <v>145</v>
      </c>
      <c r="C45" s="218">
        <v>1.05</v>
      </c>
      <c r="D45" s="218">
        <v>1.1</v>
      </c>
      <c r="E45" s="218">
        <v>1.1</v>
      </c>
      <c r="F45" s="218">
        <v>1.5</v>
      </c>
      <c r="G45" s="218">
        <v>2</v>
      </c>
      <c r="H45" s="218">
        <v>2</v>
      </c>
      <c r="I45" s="218">
        <v>2.1</v>
      </c>
      <c r="J45" s="218">
        <v>2.25</v>
      </c>
      <c r="K45" s="218">
        <v>2.4</v>
      </c>
      <c r="L45" s="218">
        <v>2.55</v>
      </c>
      <c r="M45" s="218">
        <v>2.65</v>
      </c>
      <c r="N45" s="218">
        <v>2.55</v>
      </c>
      <c r="O45" s="218">
        <v>2.55</v>
      </c>
      <c r="P45" s="218">
        <v>1.92</v>
      </c>
      <c r="Q45" s="218">
        <v>1.82</v>
      </c>
      <c r="R45" s="218">
        <v>1.77</v>
      </c>
      <c r="S45" s="218">
        <v>1.65</v>
      </c>
      <c r="T45" s="218">
        <v>1.57</v>
      </c>
      <c r="U45" s="218">
        <v>1.62</v>
      </c>
      <c r="V45" s="220">
        <v>1.72</v>
      </c>
      <c r="W45" s="220">
        <v>1.72</v>
      </c>
      <c r="X45" s="220">
        <v>1.89</v>
      </c>
      <c r="Y45" s="220">
        <v>1.89</v>
      </c>
      <c r="Z45" s="220">
        <v>1.89</v>
      </c>
      <c r="AA45" s="220">
        <v>1.89</v>
      </c>
      <c r="AB45" s="221">
        <v>1.89</v>
      </c>
      <c r="AC45" s="222">
        <v>1.89</v>
      </c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B45"/>
      <c r="BC45"/>
      <c r="BD45"/>
      <c r="BE45"/>
      <c r="BF45"/>
      <c r="CC45" s="96" t="s">
        <v>159</v>
      </c>
      <c r="CE45" s="92">
        <v>2536.6</v>
      </c>
      <c r="CG45" s="92">
        <v>8235.101</v>
      </c>
      <c r="CH45" s="92">
        <v>0.488849</v>
      </c>
      <c r="CI45" s="92">
        <v>10772.189849</v>
      </c>
      <c r="CJ45" s="92">
        <v>840</v>
      </c>
      <c r="CL45" s="92">
        <v>14.5</v>
      </c>
      <c r="CM45" s="92">
        <v>4573.2446826</v>
      </c>
      <c r="CN45" s="92">
        <v>5427.7446826</v>
      </c>
      <c r="CO45" s="92">
        <v>1821.3451664</v>
      </c>
      <c r="CP45" s="92">
        <v>7249.089849</v>
      </c>
      <c r="CR45" s="92">
        <v>1142.7</v>
      </c>
      <c r="CS45" s="92">
        <v>2380.4</v>
      </c>
      <c r="CT45" s="92">
        <v>3523.1</v>
      </c>
      <c r="CU45" s="97">
        <f t="shared" si="8"/>
        <v>0.48600583982084394</v>
      </c>
      <c r="CV45" s="98">
        <v>2.55</v>
      </c>
    </row>
    <row r="46" spans="2:100" ht="12.75">
      <c r="B46" s="193" t="s">
        <v>147</v>
      </c>
      <c r="C46" s="97">
        <f aca="true" t="shared" si="27" ref="C46:Z46">C43/C45</f>
        <v>2.4285714285714284</v>
      </c>
      <c r="D46" s="97">
        <f t="shared" si="27"/>
        <v>2.745454545454545</v>
      </c>
      <c r="E46" s="97">
        <f t="shared" si="27"/>
        <v>2.309090909090909</v>
      </c>
      <c r="F46" s="97">
        <f t="shared" si="27"/>
        <v>1.4333333333333333</v>
      </c>
      <c r="G46" s="97">
        <f t="shared" si="27"/>
        <v>1.025</v>
      </c>
      <c r="H46" s="97">
        <f t="shared" si="27"/>
        <v>1.125</v>
      </c>
      <c r="I46" s="97">
        <f t="shared" si="27"/>
        <v>1.180952380952381</v>
      </c>
      <c r="J46" s="97">
        <f t="shared" si="27"/>
        <v>1.3866666666666667</v>
      </c>
      <c r="K46" s="97">
        <f t="shared" si="27"/>
        <v>1.0291666666666668</v>
      </c>
      <c r="L46" s="97">
        <f t="shared" si="27"/>
        <v>1</v>
      </c>
      <c r="M46" s="97">
        <f t="shared" si="27"/>
        <v>1.211320754716981</v>
      </c>
      <c r="N46" s="97">
        <f t="shared" si="27"/>
        <v>1.031372549019608</v>
      </c>
      <c r="O46" s="97">
        <f t="shared" si="27"/>
        <v>0.8745098039215686</v>
      </c>
      <c r="P46" s="97">
        <f t="shared" si="27"/>
        <v>0.78125</v>
      </c>
      <c r="Q46" s="97">
        <f t="shared" si="27"/>
        <v>1.065934065934066</v>
      </c>
      <c r="R46" s="97">
        <f t="shared" si="27"/>
        <v>1.4350282485875707</v>
      </c>
      <c r="S46" s="97">
        <f t="shared" si="27"/>
        <v>1.4303030303030304</v>
      </c>
      <c r="T46" s="97">
        <f t="shared" si="27"/>
        <v>1.4522292993630572</v>
      </c>
      <c r="U46" s="97">
        <f t="shared" si="27"/>
        <v>1.462962962962963</v>
      </c>
      <c r="V46" s="97">
        <f t="shared" si="27"/>
        <v>1.2034883720930232</v>
      </c>
      <c r="W46" s="97">
        <f t="shared" si="27"/>
        <v>1.4534883720930232</v>
      </c>
      <c r="X46" s="97">
        <f t="shared" si="27"/>
        <v>1.1957671957671958</v>
      </c>
      <c r="Y46" s="97">
        <f t="shared" si="27"/>
        <v>1.7142857142857144</v>
      </c>
      <c r="Z46" s="97">
        <f t="shared" si="27"/>
        <v>1.433862433862434</v>
      </c>
      <c r="AA46" s="97">
        <f>AA43/AA45</f>
        <v>1.2857142857142858</v>
      </c>
      <c r="AB46" s="97">
        <f>AB43/AB45</f>
        <v>1.0264550264550265</v>
      </c>
      <c r="AC46" s="97">
        <f>AC43/AC45</f>
        <v>0.962962962962963</v>
      </c>
      <c r="AD46" s="97"/>
      <c r="AE46" s="97"/>
      <c r="AL46" s="135"/>
      <c r="BB46"/>
      <c r="BC46"/>
      <c r="BD46"/>
      <c r="BE46"/>
      <c r="BF46"/>
      <c r="CC46" s="96" t="s">
        <v>162</v>
      </c>
      <c r="CE46" s="92">
        <v>3523.1</v>
      </c>
      <c r="CG46" s="92">
        <v>4174.251</v>
      </c>
      <c r="CH46" s="92">
        <v>1.706811</v>
      </c>
      <c r="CI46" s="92">
        <v>7699.057811</v>
      </c>
      <c r="CJ46" s="92">
        <v>911</v>
      </c>
      <c r="CL46" s="92">
        <v>19.1</v>
      </c>
      <c r="CM46" s="92">
        <v>3876.2604351</v>
      </c>
      <c r="CN46" s="92">
        <v>4806.3604351</v>
      </c>
      <c r="CO46" s="92">
        <v>1886.3973759</v>
      </c>
      <c r="CP46" s="92">
        <v>6692.757811</v>
      </c>
      <c r="CR46" s="92">
        <v>201.5</v>
      </c>
      <c r="CS46" s="92">
        <v>804.8</v>
      </c>
      <c r="CT46" s="92">
        <v>1006.3</v>
      </c>
      <c r="CU46" s="97">
        <f t="shared" si="8"/>
        <v>0.15035655381793106</v>
      </c>
      <c r="CV46" s="98">
        <v>3.21</v>
      </c>
    </row>
    <row r="47" spans="2:100" ht="12.75">
      <c r="B47" s="76"/>
      <c r="AL47" s="135"/>
      <c r="AP47" s="136"/>
      <c r="AQ47" s="136"/>
      <c r="AS47" s="136"/>
      <c r="AT47" s="136"/>
      <c r="AU47" s="136"/>
      <c r="AV47"/>
      <c r="AW47"/>
      <c r="AX47"/>
      <c r="BB47"/>
      <c r="BC47"/>
      <c r="BD47"/>
      <c r="BE47"/>
      <c r="BF47"/>
      <c r="CC47" s="96" t="s">
        <v>167</v>
      </c>
      <c r="CE47" s="92">
        <v>1006.3</v>
      </c>
      <c r="CG47" s="92">
        <v>7672.13</v>
      </c>
      <c r="CH47" s="92">
        <v>1.732999</v>
      </c>
      <c r="CI47" s="92">
        <v>8680.162999</v>
      </c>
      <c r="CJ47" s="92">
        <v>1045.999</v>
      </c>
      <c r="CL47" s="92">
        <v>21.2</v>
      </c>
      <c r="CM47" s="92">
        <v>4114.513389</v>
      </c>
      <c r="CN47" s="92">
        <v>5181.712389</v>
      </c>
      <c r="CO47" s="92">
        <v>1850.25061</v>
      </c>
      <c r="CP47" s="92">
        <v>7031.962999</v>
      </c>
      <c r="CR47" s="92">
        <v>224.9</v>
      </c>
      <c r="CS47" s="92">
        <v>1423.3</v>
      </c>
      <c r="CT47" s="92">
        <v>1648.2</v>
      </c>
      <c r="CU47" s="97">
        <f t="shared" si="8"/>
        <v>0.2343868988267411</v>
      </c>
      <c r="CV47" s="98">
        <v>2.63</v>
      </c>
    </row>
    <row r="48" spans="2:100" ht="12.75">
      <c r="B48" s="76"/>
      <c r="AL48" s="135"/>
      <c r="AP48" s="136"/>
      <c r="AQ48" s="136"/>
      <c r="AS48" s="136"/>
      <c r="AT48" s="136"/>
      <c r="AU48" s="136"/>
      <c r="AV48"/>
      <c r="AW48"/>
      <c r="AX48"/>
      <c r="CC48" s="96" t="s">
        <v>171</v>
      </c>
      <c r="CE48" s="92">
        <v>1648.2</v>
      </c>
      <c r="CG48" s="92">
        <v>8875.453</v>
      </c>
      <c r="CH48" s="92">
        <v>9.89816</v>
      </c>
      <c r="CI48" s="92">
        <v>10533.55116</v>
      </c>
      <c r="CJ48" s="92">
        <v>1133</v>
      </c>
      <c r="CL48" s="92">
        <v>19.5</v>
      </c>
      <c r="CM48" s="92">
        <v>4114.249281</v>
      </c>
      <c r="CN48" s="92">
        <v>5266.749281</v>
      </c>
      <c r="CO48" s="92">
        <v>1227.301879</v>
      </c>
      <c r="CP48" s="92">
        <v>6494.05116</v>
      </c>
      <c r="CR48" s="92">
        <v>545.7</v>
      </c>
      <c r="CS48" s="92">
        <v>3493.8</v>
      </c>
      <c r="CT48" s="92">
        <v>4039.5</v>
      </c>
      <c r="CU48" s="97">
        <f t="shared" si="8"/>
        <v>0.6220308249003693</v>
      </c>
      <c r="CV48" s="98">
        <v>2.23</v>
      </c>
    </row>
    <row r="49" spans="2:100" ht="12.75">
      <c r="B49" s="77" t="s">
        <v>151</v>
      </c>
      <c r="Q49" s="71"/>
      <c r="AP49" s="136"/>
      <c r="AQ49" s="136"/>
      <c r="AS49" s="136"/>
      <c r="AT49" s="136"/>
      <c r="AU49" s="136"/>
      <c r="AV49"/>
      <c r="AW49"/>
      <c r="AX49"/>
      <c r="CC49" s="96" t="s">
        <v>172</v>
      </c>
      <c r="CE49" s="92">
        <v>4039.5</v>
      </c>
      <c r="CG49" s="92">
        <v>8225.764</v>
      </c>
      <c r="CH49" s="92">
        <v>1.756732</v>
      </c>
      <c r="CI49" s="92">
        <v>12267.020732</v>
      </c>
      <c r="CJ49" s="92">
        <v>1206.8</v>
      </c>
      <c r="CL49" s="92">
        <v>16.7</v>
      </c>
      <c r="CM49" s="92">
        <v>4669.350125</v>
      </c>
      <c r="CN49" s="92">
        <v>5892.850125</v>
      </c>
      <c r="CO49" s="92">
        <v>1492.470607</v>
      </c>
      <c r="CP49" s="92">
        <v>7385.320732</v>
      </c>
      <c r="CR49" s="92">
        <v>1443.2</v>
      </c>
      <c r="CS49" s="92">
        <v>3438.5</v>
      </c>
      <c r="CT49" s="92">
        <v>4881.7</v>
      </c>
      <c r="CU49" s="97">
        <f t="shared" si="8"/>
        <v>0.6610004056896251</v>
      </c>
      <c r="CV49" s="98">
        <v>1.5</v>
      </c>
    </row>
    <row r="50" spans="2:100" ht="12.75">
      <c r="B50" s="77" t="s">
        <v>153</v>
      </c>
      <c r="CC50" s="96" t="s">
        <v>174</v>
      </c>
      <c r="CE50" s="92">
        <v>4881.7</v>
      </c>
      <c r="CG50" s="92">
        <v>7131.3</v>
      </c>
      <c r="CH50" s="92">
        <v>3.410742</v>
      </c>
      <c r="CI50" s="92">
        <v>12016.410742</v>
      </c>
      <c r="CJ50" s="92">
        <v>1226</v>
      </c>
      <c r="CL50" s="92">
        <v>17.2</v>
      </c>
      <c r="CM50" s="92">
        <v>4797.685619</v>
      </c>
      <c r="CN50" s="92">
        <v>6040.885619</v>
      </c>
      <c r="CO50" s="92">
        <v>1716.425123</v>
      </c>
      <c r="CP50" s="92">
        <v>7757.310742</v>
      </c>
      <c r="CR50" s="92">
        <v>835</v>
      </c>
      <c r="CS50" s="92">
        <v>3424.1</v>
      </c>
      <c r="CT50" s="92">
        <v>4259.1</v>
      </c>
      <c r="CU50" s="97">
        <f t="shared" si="8"/>
        <v>0.5490433658845428</v>
      </c>
      <c r="CV50" s="98">
        <v>1.94</v>
      </c>
    </row>
    <row r="51" spans="2:100" ht="12.75">
      <c r="B51" s="76"/>
      <c r="CC51" s="96" t="s">
        <v>176</v>
      </c>
      <c r="CE51" s="92">
        <v>4259.086</v>
      </c>
      <c r="CG51" s="92">
        <v>4928.681</v>
      </c>
      <c r="CH51" s="92">
        <v>2.783115</v>
      </c>
      <c r="CI51" s="92">
        <v>9190.550115</v>
      </c>
      <c r="CJ51" s="92">
        <v>1275</v>
      </c>
      <c r="CL51" s="92">
        <v>18.4</v>
      </c>
      <c r="CM51" s="92">
        <v>3940.960205</v>
      </c>
      <c r="CN51" s="92">
        <v>5234.360205</v>
      </c>
      <c r="CO51" s="92">
        <v>2025.76191</v>
      </c>
      <c r="CP51" s="92">
        <v>7260.122115</v>
      </c>
      <c r="CR51" s="92">
        <v>362.5</v>
      </c>
      <c r="CS51" s="92">
        <v>1567.928</v>
      </c>
      <c r="CT51" s="92">
        <v>1930.428</v>
      </c>
      <c r="CU51" s="97">
        <f t="shared" si="8"/>
        <v>0.26589470113892155</v>
      </c>
      <c r="CV51" s="98">
        <v>2.54</v>
      </c>
    </row>
    <row r="52" spans="2:100" ht="12.75">
      <c r="B52" s="76"/>
      <c r="CC52" s="96" t="s">
        <v>178</v>
      </c>
      <c r="CE52" s="92">
        <v>1930.428</v>
      </c>
      <c r="CG52" s="92">
        <v>7531.953</v>
      </c>
      <c r="CH52" s="92">
        <v>1.902007</v>
      </c>
      <c r="CI52" s="92">
        <v>9464.283007</v>
      </c>
      <c r="CJ52" s="92">
        <v>1337.001</v>
      </c>
      <c r="CL52" s="92">
        <v>18.9</v>
      </c>
      <c r="CM52" s="92">
        <v>4395.689949</v>
      </c>
      <c r="CN52" s="92">
        <v>5751.590949</v>
      </c>
      <c r="CO52" s="92">
        <v>2368.235058</v>
      </c>
      <c r="CP52" s="92">
        <v>8119.826007</v>
      </c>
      <c r="CR52" s="92">
        <v>233</v>
      </c>
      <c r="CS52" s="92">
        <v>1111.457</v>
      </c>
      <c r="CT52" s="92">
        <v>1344.457</v>
      </c>
      <c r="CU52" s="97">
        <f t="shared" si="8"/>
        <v>0.16557707010482253</v>
      </c>
      <c r="CV52" s="98">
        <v>2.36</v>
      </c>
    </row>
    <row r="53" spans="2:100" ht="12.75">
      <c r="B53" s="76"/>
      <c r="CC53" s="96" t="s">
        <v>180</v>
      </c>
      <c r="CE53" s="92">
        <v>1344.457</v>
      </c>
      <c r="CG53" s="92">
        <v>7934.028</v>
      </c>
      <c r="CH53" s="92">
        <v>3.415564</v>
      </c>
      <c r="CI53" s="92">
        <v>9281.900564</v>
      </c>
      <c r="CJ53" s="92">
        <v>1353.74</v>
      </c>
      <c r="CL53" s="92">
        <v>19.3</v>
      </c>
      <c r="CM53" s="92">
        <v>4663.01627</v>
      </c>
      <c r="CN53" s="92">
        <v>6036.05627</v>
      </c>
      <c r="CO53" s="92">
        <v>1724.599294</v>
      </c>
      <c r="CP53" s="92">
        <v>7760.655564</v>
      </c>
      <c r="CR53" s="92">
        <v>371.1</v>
      </c>
      <c r="CS53" s="92">
        <v>1150.145</v>
      </c>
      <c r="CT53" s="92">
        <v>1521.245</v>
      </c>
      <c r="CU53" s="97">
        <f t="shared" si="8"/>
        <v>0.1960201670406204</v>
      </c>
      <c r="CV53" s="98">
        <v>2.28</v>
      </c>
    </row>
    <row r="54" spans="2:100" ht="12.75">
      <c r="B54" s="76"/>
      <c r="U54" s="70" t="s">
        <v>160</v>
      </c>
      <c r="V54" s="70" t="s">
        <v>161</v>
      </c>
      <c r="CC54" s="96" t="s">
        <v>182</v>
      </c>
      <c r="CE54" s="92">
        <v>1521.245</v>
      </c>
      <c r="CG54" s="92">
        <v>7474.765</v>
      </c>
      <c r="CH54" s="92">
        <v>19.636724</v>
      </c>
      <c r="CI54" s="92">
        <v>9015.646724</v>
      </c>
      <c r="CJ54" s="92">
        <v>1433.8</v>
      </c>
      <c r="CL54" s="92">
        <v>20.2</v>
      </c>
      <c r="CM54" s="92">
        <v>4877.231137</v>
      </c>
      <c r="CN54" s="92">
        <v>6331.231137</v>
      </c>
      <c r="CO54" s="92">
        <v>1584.104587</v>
      </c>
      <c r="CP54" s="92">
        <v>7915.335724</v>
      </c>
      <c r="CR54" s="92">
        <v>112.5</v>
      </c>
      <c r="CS54" s="92">
        <v>987.811</v>
      </c>
      <c r="CT54" s="92">
        <v>1100.311</v>
      </c>
      <c r="CU54" s="97">
        <f t="shared" si="8"/>
        <v>0.1390100228678563</v>
      </c>
      <c r="CV54" s="98">
        <v>2.37</v>
      </c>
    </row>
    <row r="55" spans="2:100" ht="12.75">
      <c r="B55" s="76"/>
      <c r="S55" s="115" t="s">
        <v>163</v>
      </c>
      <c r="T55" s="70" t="s">
        <v>164</v>
      </c>
      <c r="U55" s="70" t="s">
        <v>165</v>
      </c>
      <c r="V55" s="70" t="s">
        <v>166</v>
      </c>
      <c r="CC55" s="96" t="s">
        <v>184</v>
      </c>
      <c r="CE55" s="92">
        <v>1100.311</v>
      </c>
      <c r="CG55" s="92">
        <v>9476.698</v>
      </c>
      <c r="CH55" s="92">
        <v>7.091029</v>
      </c>
      <c r="CI55" s="92">
        <v>10584.100029</v>
      </c>
      <c r="CJ55" s="92">
        <v>1492.7</v>
      </c>
      <c r="CL55" s="92">
        <v>18.7</v>
      </c>
      <c r="CM55" s="92">
        <v>5296.441062</v>
      </c>
      <c r="CN55" s="92">
        <v>6807.841062</v>
      </c>
      <c r="CO55" s="92">
        <v>1663.277967</v>
      </c>
      <c r="CP55" s="92">
        <v>8471.119029</v>
      </c>
      <c r="CR55" s="92">
        <v>55.5</v>
      </c>
      <c r="CS55" s="92">
        <v>2057.481</v>
      </c>
      <c r="CT55" s="92">
        <v>2112.981</v>
      </c>
      <c r="CU55" s="97">
        <f t="shared" si="8"/>
        <v>0.24943351554457308</v>
      </c>
      <c r="CV55" s="98">
        <v>2.07</v>
      </c>
    </row>
    <row r="56" spans="2:100" ht="13.5" thickBot="1">
      <c r="B56" s="76"/>
      <c r="C56" s="70" t="s">
        <v>168</v>
      </c>
      <c r="R56" s="70" t="s">
        <v>20</v>
      </c>
      <c r="S56" s="84" t="s">
        <v>166</v>
      </c>
      <c r="T56" s="84" t="s">
        <v>166</v>
      </c>
      <c r="U56" s="84" t="s">
        <v>169</v>
      </c>
      <c r="V56" s="84" t="s">
        <v>170</v>
      </c>
      <c r="W56" s="70" t="s">
        <v>135</v>
      </c>
      <c r="CC56" s="96" t="s">
        <v>185</v>
      </c>
      <c r="CE56" s="92">
        <v>2112.981</v>
      </c>
      <c r="CG56" s="92">
        <v>6336.47</v>
      </c>
      <c r="CH56" s="92">
        <v>20.81505</v>
      </c>
      <c r="CI56" s="92">
        <v>8470.26605</v>
      </c>
      <c r="CJ56" s="92">
        <v>1568.09048727648</v>
      </c>
      <c r="CL56" s="92">
        <v>20.1</v>
      </c>
      <c r="CM56" s="92">
        <v>4703.61069072352</v>
      </c>
      <c r="CN56" s="92">
        <v>6291.801178</v>
      </c>
      <c r="CO56" s="92">
        <v>1328.321872</v>
      </c>
      <c r="CP56" s="92">
        <v>7620.12305</v>
      </c>
      <c r="CR56" s="92">
        <v>45</v>
      </c>
      <c r="CS56" s="92">
        <v>805.143</v>
      </c>
      <c r="CT56" s="92">
        <v>850.143</v>
      </c>
      <c r="CU56" s="97">
        <f t="shared" si="8"/>
        <v>0.11156552124181249</v>
      </c>
      <c r="CV56" s="98">
        <v>2.5</v>
      </c>
    </row>
    <row r="57" spans="2:100" ht="13.5" thickBot="1">
      <c r="B57" s="76"/>
      <c r="R57" s="116">
        <f>C5</f>
        <v>73</v>
      </c>
      <c r="T57" s="111">
        <f>$C43</f>
        <v>2.55</v>
      </c>
      <c r="U57" s="70">
        <v>0.08208955223880597</v>
      </c>
      <c r="W57" s="181">
        <v>1.05</v>
      </c>
      <c r="CC57" s="96" t="s">
        <v>187</v>
      </c>
      <c r="CE57" s="92">
        <v>850.143</v>
      </c>
      <c r="CG57" s="92">
        <v>10103.03</v>
      </c>
      <c r="CH57" s="92">
        <v>9.557024</v>
      </c>
      <c r="CI57" s="92">
        <v>10962.730024</v>
      </c>
      <c r="CJ57" s="92">
        <v>1674.6</v>
      </c>
      <c r="CL57" s="92">
        <v>18.4</v>
      </c>
      <c r="CM57" s="92">
        <v>5533.940024</v>
      </c>
      <c r="CN57" s="92">
        <v>7226.940024</v>
      </c>
      <c r="CO57" s="92">
        <v>2177.482</v>
      </c>
      <c r="CP57" s="92">
        <v>9404.422024</v>
      </c>
      <c r="CR57" s="92">
        <v>42</v>
      </c>
      <c r="CS57" s="92">
        <v>1516.308</v>
      </c>
      <c r="CT57" s="92">
        <v>1558.308</v>
      </c>
      <c r="CU57" s="97">
        <f t="shared" si="8"/>
        <v>0.16569949711138146</v>
      </c>
      <c r="CV57" s="98">
        <v>2.26</v>
      </c>
    </row>
    <row r="58" spans="2:100" ht="12.75">
      <c r="B58" s="76"/>
      <c r="C58" s="117" t="s">
        <v>173</v>
      </c>
      <c r="D58" s="117"/>
      <c r="R58" s="116">
        <f>D5</f>
        <v>74</v>
      </c>
      <c r="S58" s="118"/>
      <c r="T58" s="111">
        <f>D43</f>
        <v>3.02</v>
      </c>
      <c r="U58" s="70">
        <v>0.07480314960629922</v>
      </c>
      <c r="V58" s="111">
        <f aca="true" t="shared" si="28" ref="V58:V82">T57</f>
        <v>2.55</v>
      </c>
      <c r="W58" s="181">
        <v>1.1</v>
      </c>
      <c r="CC58" s="96" t="s">
        <v>193</v>
      </c>
      <c r="CE58" s="92">
        <v>1558.308</v>
      </c>
      <c r="CG58" s="92">
        <v>7373.7</v>
      </c>
      <c r="CH58" s="92">
        <v>15</v>
      </c>
      <c r="CI58" s="92">
        <v>8947</v>
      </c>
      <c r="CJ58" s="92">
        <v>1664</v>
      </c>
      <c r="CL58" s="92">
        <v>21</v>
      </c>
      <c r="CM58" s="92">
        <v>4600</v>
      </c>
      <c r="CN58" s="92">
        <v>6285</v>
      </c>
      <c r="CO58" s="92">
        <v>2250</v>
      </c>
      <c r="CP58" s="92">
        <v>8535</v>
      </c>
      <c r="CR58" s="92">
        <v>42</v>
      </c>
      <c r="CS58" s="92">
        <f>CT58-CR58</f>
        <v>370</v>
      </c>
      <c r="CT58" s="92">
        <v>412</v>
      </c>
      <c r="CU58" s="97">
        <f t="shared" si="8"/>
        <v>0.04827182190978325</v>
      </c>
      <c r="CV58" s="122" t="s">
        <v>194</v>
      </c>
    </row>
    <row r="59" spans="2:101" ht="12.75">
      <c r="B59" s="76"/>
      <c r="C59" s="119" t="s">
        <v>175</v>
      </c>
      <c r="D59" s="119">
        <v>0.9159953246488935</v>
      </c>
      <c r="R59" s="116">
        <f>E5</f>
        <v>75</v>
      </c>
      <c r="S59" s="118"/>
      <c r="T59" s="111">
        <f>E43</f>
        <v>2.54</v>
      </c>
      <c r="U59" s="70">
        <v>0.10993584185885209</v>
      </c>
      <c r="V59" s="111">
        <f t="shared" si="28"/>
        <v>3.02</v>
      </c>
      <c r="W59" s="181">
        <v>1.1</v>
      </c>
      <c r="CC59" s="79" t="s">
        <v>22</v>
      </c>
      <c r="CD59" s="79" t="s">
        <v>22</v>
      </c>
      <c r="CE59" s="123" t="s">
        <v>22</v>
      </c>
      <c r="CF59" s="123" t="s">
        <v>22</v>
      </c>
      <c r="CG59" s="123" t="s">
        <v>22</v>
      </c>
      <c r="CH59" s="123" t="s">
        <v>22</v>
      </c>
      <c r="CI59" s="123" t="s">
        <v>22</v>
      </c>
      <c r="CJ59" s="123" t="s">
        <v>22</v>
      </c>
      <c r="CK59" s="123" t="s">
        <v>22</v>
      </c>
      <c r="CL59" s="123" t="s">
        <v>22</v>
      </c>
      <c r="CM59" s="123" t="s">
        <v>22</v>
      </c>
      <c r="CN59" s="123" t="s">
        <v>22</v>
      </c>
      <c r="CO59" s="123" t="s">
        <v>22</v>
      </c>
      <c r="CP59" s="123" t="s">
        <v>22</v>
      </c>
      <c r="CQ59" s="123" t="s">
        <v>22</v>
      </c>
      <c r="CR59" s="123" t="s">
        <v>22</v>
      </c>
      <c r="CS59" s="123" t="s">
        <v>22</v>
      </c>
      <c r="CT59" s="123" t="s">
        <v>22</v>
      </c>
      <c r="CU59" s="124" t="s">
        <v>22</v>
      </c>
      <c r="CV59" s="125" t="s">
        <v>22</v>
      </c>
      <c r="CW59" s="79" t="s">
        <v>22</v>
      </c>
    </row>
    <row r="60" spans="2:23" ht="12.75">
      <c r="B60" s="76"/>
      <c r="C60" s="119" t="s">
        <v>177</v>
      </c>
      <c r="D60" s="119">
        <v>0.8390474347786318</v>
      </c>
      <c r="R60" s="116">
        <f>F5</f>
        <v>76</v>
      </c>
      <c r="S60" s="118"/>
      <c r="T60" s="111">
        <f>F43</f>
        <v>2.15</v>
      </c>
      <c r="U60" s="70">
        <v>0.19606149594057695</v>
      </c>
      <c r="V60" s="111">
        <f t="shared" si="28"/>
        <v>2.54</v>
      </c>
      <c r="W60" s="181">
        <v>1.5</v>
      </c>
    </row>
    <row r="61" spans="2:23" ht="12.75">
      <c r="B61" s="76"/>
      <c r="C61" s="119" t="s">
        <v>179</v>
      </c>
      <c r="D61" s="119">
        <v>0.8122220072417371</v>
      </c>
      <c r="R61" s="116">
        <f>G5</f>
        <v>77</v>
      </c>
      <c r="S61" s="118"/>
      <c r="T61" s="111">
        <f>G43</f>
        <v>2.05</v>
      </c>
      <c r="U61" s="70">
        <v>0.231351699693894</v>
      </c>
      <c r="V61" s="111">
        <f t="shared" si="28"/>
        <v>2.15</v>
      </c>
      <c r="W61" s="181">
        <v>2</v>
      </c>
    </row>
    <row r="62" spans="2:23" ht="12.75">
      <c r="B62" s="76"/>
      <c r="C62" s="119" t="s">
        <v>181</v>
      </c>
      <c r="D62" s="119">
        <v>0.156548316119538</v>
      </c>
      <c r="R62" s="116">
        <f>H5</f>
        <v>78</v>
      </c>
      <c r="S62" s="118"/>
      <c r="T62" s="111">
        <f>H43</f>
        <v>2.25</v>
      </c>
      <c r="U62" s="70">
        <v>0.2444603288062902</v>
      </c>
      <c r="V62" s="111">
        <f t="shared" si="28"/>
        <v>2.05</v>
      </c>
      <c r="W62" s="181">
        <v>2</v>
      </c>
    </row>
    <row r="63" spans="2:23" ht="13.5" thickBot="1">
      <c r="B63" s="76"/>
      <c r="C63" s="120" t="s">
        <v>183</v>
      </c>
      <c r="D63" s="120">
        <v>8</v>
      </c>
      <c r="R63" s="116">
        <f>I5</f>
        <v>79</v>
      </c>
      <c r="S63" s="118"/>
      <c r="T63" s="111">
        <f>I43</f>
        <v>2.48</v>
      </c>
      <c r="U63" s="70">
        <v>0.26745562130177514</v>
      </c>
      <c r="V63" s="111">
        <f t="shared" si="28"/>
        <v>2.25</v>
      </c>
      <c r="W63" s="181">
        <v>2.1</v>
      </c>
    </row>
    <row r="64" spans="2:23" ht="12.75">
      <c r="B64" s="76"/>
      <c r="R64" s="116">
        <f>J5</f>
        <v>80</v>
      </c>
      <c r="S64" s="118"/>
      <c r="T64" s="111">
        <f>J43</f>
        <v>3.12</v>
      </c>
      <c r="U64" s="70">
        <v>0.19129360065915957</v>
      </c>
      <c r="V64" s="111">
        <f t="shared" si="28"/>
        <v>2.48</v>
      </c>
      <c r="W64" s="181">
        <v>2.25</v>
      </c>
    </row>
    <row r="65" spans="2:23" ht="13.5" thickBot="1">
      <c r="B65" s="76"/>
      <c r="C65" s="70" t="s">
        <v>186</v>
      </c>
      <c r="R65" s="116">
        <f>K5</f>
        <v>81</v>
      </c>
      <c r="S65" s="118"/>
      <c r="T65" s="111">
        <f>K43</f>
        <v>2.47</v>
      </c>
      <c r="U65" s="70">
        <v>0.36372759856630826</v>
      </c>
      <c r="V65" s="111">
        <f t="shared" si="28"/>
        <v>3.12</v>
      </c>
      <c r="W65" s="181">
        <v>2.4</v>
      </c>
    </row>
    <row r="66" spans="3:23" ht="12.75">
      <c r="C66" s="121"/>
      <c r="D66" s="121" t="s">
        <v>188</v>
      </c>
      <c r="E66" s="121" t="s">
        <v>189</v>
      </c>
      <c r="F66" s="121" t="s">
        <v>190</v>
      </c>
      <c r="G66" s="121" t="s">
        <v>191</v>
      </c>
      <c r="H66" s="121" t="s">
        <v>192</v>
      </c>
      <c r="R66" s="116">
        <f>L5</f>
        <v>82</v>
      </c>
      <c r="S66" s="118"/>
      <c r="T66" s="111">
        <f>L43</f>
        <v>2.55</v>
      </c>
      <c r="U66" s="70">
        <v>0.48613601876120843</v>
      </c>
      <c r="V66" s="111">
        <f t="shared" si="28"/>
        <v>2.47</v>
      </c>
      <c r="W66" s="181">
        <v>2.55</v>
      </c>
    </row>
    <row r="67" spans="3:23" ht="12.75">
      <c r="C67" s="119" t="s">
        <v>195</v>
      </c>
      <c r="D67" s="119">
        <v>1</v>
      </c>
      <c r="E67" s="119">
        <v>0.7665432483208237</v>
      </c>
      <c r="F67" s="119">
        <v>0.7665432483208237</v>
      </c>
      <c r="G67" s="119">
        <v>31.278063830469673</v>
      </c>
      <c r="H67" s="119">
        <v>0.0013902044995393952</v>
      </c>
      <c r="R67" s="116">
        <f>M5</f>
        <v>83</v>
      </c>
      <c r="S67" s="118"/>
      <c r="T67" s="111">
        <f>M43</f>
        <v>3.21</v>
      </c>
      <c r="U67" s="70">
        <v>0.15047818290496115</v>
      </c>
      <c r="V67" s="111">
        <f t="shared" si="28"/>
        <v>2.55</v>
      </c>
      <c r="W67" s="181">
        <v>2.65</v>
      </c>
    </row>
    <row r="68" spans="3:39" ht="12.75">
      <c r="C68" s="119" t="s">
        <v>196</v>
      </c>
      <c r="D68" s="119">
        <v>6</v>
      </c>
      <c r="E68" s="119">
        <v>0.14704425167917687</v>
      </c>
      <c r="F68" s="119">
        <v>0.02450737527986281</v>
      </c>
      <c r="G68" s="119"/>
      <c r="H68" s="119"/>
      <c r="R68" s="116">
        <f>N5</f>
        <v>84</v>
      </c>
      <c r="S68" s="118"/>
      <c r="T68" s="111">
        <f>N43</f>
        <v>2.63</v>
      </c>
      <c r="U68" s="70">
        <v>0.23435722411831628</v>
      </c>
      <c r="V68" s="111">
        <f t="shared" si="28"/>
        <v>3.21</v>
      </c>
      <c r="W68" s="181">
        <v>2.55</v>
      </c>
      <c r="AJ68" s="72"/>
      <c r="AK68" s="72"/>
      <c r="AL68" s="72"/>
      <c r="AM68" s="72"/>
    </row>
    <row r="69" spans="3:23" ht="13.5" thickBot="1">
      <c r="C69" s="120" t="s">
        <v>197</v>
      </c>
      <c r="D69" s="120">
        <v>7</v>
      </c>
      <c r="E69" s="120">
        <v>0.9135875000000006</v>
      </c>
      <c r="F69" s="120"/>
      <c r="G69" s="120"/>
      <c r="H69" s="120"/>
      <c r="R69" s="116">
        <f>O5</f>
        <v>85</v>
      </c>
      <c r="S69" s="118"/>
      <c r="T69" s="111">
        <f>O43</f>
        <v>2.23</v>
      </c>
      <c r="U69" s="70">
        <v>0.6219587311364336</v>
      </c>
      <c r="V69" s="111">
        <f t="shared" si="28"/>
        <v>2.63</v>
      </c>
      <c r="W69" s="181">
        <v>2.55</v>
      </c>
    </row>
    <row r="70" spans="18:23" ht="13.5" thickBot="1">
      <c r="R70" s="116">
        <f>P5</f>
        <v>86</v>
      </c>
      <c r="S70" s="118"/>
      <c r="T70" s="111">
        <f>P43</f>
        <v>1.5</v>
      </c>
      <c r="U70" s="70">
        <v>0.6611731888964115</v>
      </c>
      <c r="V70" s="111">
        <f t="shared" si="28"/>
        <v>2.23</v>
      </c>
      <c r="W70" s="181">
        <v>1.92</v>
      </c>
    </row>
    <row r="71" spans="3:23" ht="12.75">
      <c r="C71" s="121"/>
      <c r="D71" s="121" t="s">
        <v>198</v>
      </c>
      <c r="E71" s="121" t="s">
        <v>181</v>
      </c>
      <c r="F71" s="121" t="s">
        <v>199</v>
      </c>
      <c r="G71" s="121" t="s">
        <v>200</v>
      </c>
      <c r="H71" s="121" t="s">
        <v>201</v>
      </c>
      <c r="I71" s="121" t="s">
        <v>202</v>
      </c>
      <c r="J71" s="121" t="s">
        <v>203</v>
      </c>
      <c r="K71" s="121" t="s">
        <v>204</v>
      </c>
      <c r="Q71" s="126"/>
      <c r="R71" s="116">
        <f>Q5</f>
        <v>87</v>
      </c>
      <c r="S71" s="118"/>
      <c r="T71" s="111">
        <f>Q43</f>
        <v>1.94</v>
      </c>
      <c r="U71" s="70">
        <v>0.5490911434833053</v>
      </c>
      <c r="V71" s="111">
        <f t="shared" si="28"/>
        <v>1.5</v>
      </c>
      <c r="W71" s="181">
        <v>1.82</v>
      </c>
    </row>
    <row r="72" spans="3:23" ht="12.75">
      <c r="C72" s="119" t="s">
        <v>205</v>
      </c>
      <c r="D72" s="119">
        <v>3.266116472774008</v>
      </c>
      <c r="E72" s="119">
        <v>0.1521066190851873</v>
      </c>
      <c r="F72" s="119">
        <v>21.472546641410915</v>
      </c>
      <c r="G72" s="119">
        <v>6.656721830083917E-07</v>
      </c>
      <c r="H72" s="119">
        <v>2.893924711709386</v>
      </c>
      <c r="I72" s="119">
        <v>3.6383082338386306</v>
      </c>
      <c r="J72" s="119">
        <v>2.893924711709386</v>
      </c>
      <c r="K72" s="119">
        <v>3.6383082338386306</v>
      </c>
      <c r="R72" s="116">
        <f>R5</f>
        <v>88</v>
      </c>
      <c r="S72" s="127"/>
      <c r="T72" s="111">
        <f>R43</f>
        <v>2.54</v>
      </c>
      <c r="U72" s="70">
        <v>0.2659340220385676</v>
      </c>
      <c r="V72" s="111">
        <f t="shared" si="28"/>
        <v>1.94</v>
      </c>
      <c r="W72" s="181">
        <v>1.77</v>
      </c>
    </row>
    <row r="73" spans="3:23" ht="13.5" thickBot="1">
      <c r="C73" s="120" t="s">
        <v>206</v>
      </c>
      <c r="D73" s="120">
        <v>-5.384641671888612</v>
      </c>
      <c r="E73" s="120">
        <v>0.9628017635547352</v>
      </c>
      <c r="F73" s="120">
        <v>-5.5926794857625906</v>
      </c>
      <c r="G73" s="120">
        <v>0.0013902044995393909</v>
      </c>
      <c r="H73" s="120">
        <v>-7.740534440321449</v>
      </c>
      <c r="I73" s="120">
        <v>-3.028748903455775</v>
      </c>
      <c r="J73" s="120">
        <v>-7.740534440321449</v>
      </c>
      <c r="K73" s="120">
        <v>-3.028748903455775</v>
      </c>
      <c r="R73" s="116">
        <f>S5</f>
        <v>89</v>
      </c>
      <c r="S73" s="128">
        <f aca="true" t="shared" si="29" ref="S73:S82">$D$72+($D$73*U73)</f>
        <v>2.369481711210722</v>
      </c>
      <c r="T73" s="111">
        <f>S43</f>
        <v>2.36</v>
      </c>
      <c r="U73" s="70">
        <v>0.1665170713669421</v>
      </c>
      <c r="V73" s="111">
        <f t="shared" si="28"/>
        <v>2.54</v>
      </c>
      <c r="W73" s="181">
        <v>1.65</v>
      </c>
    </row>
    <row r="74" spans="18:23" ht="12.75">
      <c r="R74" s="116">
        <f>T5</f>
        <v>90</v>
      </c>
      <c r="S74" s="128">
        <f t="shared" si="29"/>
        <v>2.211509320185746</v>
      </c>
      <c r="T74" s="111">
        <f>T43</f>
        <v>2.28</v>
      </c>
      <c r="U74" s="70">
        <v>0.1958546579049092</v>
      </c>
      <c r="V74" s="111">
        <f t="shared" si="28"/>
        <v>2.36</v>
      </c>
      <c r="W74" s="181">
        <v>1.57</v>
      </c>
    </row>
    <row r="75" spans="18:23" ht="12.75">
      <c r="R75" s="116">
        <f>U5</f>
        <v>91</v>
      </c>
      <c r="S75" s="128">
        <f t="shared" si="29"/>
        <v>2.518031524784547</v>
      </c>
      <c r="T75" s="111">
        <f>U43</f>
        <v>2.37</v>
      </c>
      <c r="U75" s="70">
        <v>0.1389293835270338</v>
      </c>
      <c r="V75" s="111">
        <f t="shared" si="28"/>
        <v>2.28</v>
      </c>
      <c r="W75" s="181">
        <v>1.62</v>
      </c>
    </row>
    <row r="76" spans="18:23" ht="12.75">
      <c r="R76" s="116">
        <f>V5</f>
        <v>92</v>
      </c>
      <c r="S76" s="128">
        <f t="shared" si="29"/>
        <v>1.926342652806082</v>
      </c>
      <c r="T76" s="111">
        <f>V43</f>
        <v>2.07</v>
      </c>
      <c r="U76" s="70">
        <v>0.24881392330383484</v>
      </c>
      <c r="V76" s="111">
        <f t="shared" si="28"/>
        <v>2.37</v>
      </c>
      <c r="W76" s="181">
        <v>1.72</v>
      </c>
    </row>
    <row r="77" spans="3:23" ht="12.75">
      <c r="C77" s="70" t="s">
        <v>207</v>
      </c>
      <c r="R77" s="116">
        <f>W5</f>
        <v>93</v>
      </c>
      <c r="S77" s="128">
        <f t="shared" si="29"/>
        <v>2.6651353438119196</v>
      </c>
      <c r="T77" s="111">
        <f>W43</f>
        <v>2.5</v>
      </c>
      <c r="U77" s="70">
        <v>0.1116102362204726</v>
      </c>
      <c r="V77" s="111">
        <f t="shared" si="28"/>
        <v>2.07</v>
      </c>
      <c r="W77" s="181">
        <v>1.72</v>
      </c>
    </row>
    <row r="78" spans="18:23" ht="13.5" thickBot="1">
      <c r="R78" s="116">
        <f>X5</f>
        <v>94</v>
      </c>
      <c r="S78" s="128">
        <f t="shared" si="29"/>
        <v>2.37385145851458</v>
      </c>
      <c r="T78" s="111">
        <f>X43</f>
        <v>2.26</v>
      </c>
      <c r="U78" s="70">
        <v>0.16570555082943428</v>
      </c>
      <c r="V78" s="111">
        <f t="shared" si="28"/>
        <v>2.5</v>
      </c>
      <c r="W78" s="181">
        <v>1.89</v>
      </c>
    </row>
    <row r="79" spans="3:23" ht="12.75">
      <c r="C79" s="121" t="s">
        <v>209</v>
      </c>
      <c r="D79" s="121" t="s">
        <v>210</v>
      </c>
      <c r="E79" s="121" t="s">
        <v>211</v>
      </c>
      <c r="R79" s="116">
        <f>Y5</f>
        <v>95</v>
      </c>
      <c r="S79" s="128">
        <f t="shared" si="29"/>
        <v>2.9968395276965096</v>
      </c>
      <c r="T79" s="111">
        <f>Y43</f>
        <v>3.24</v>
      </c>
      <c r="U79" s="70">
        <v>0.050008331377610925</v>
      </c>
      <c r="V79" s="111">
        <f t="shared" si="28"/>
        <v>2.26</v>
      </c>
      <c r="W79" s="181">
        <v>1.89</v>
      </c>
    </row>
    <row r="80" spans="3:23" ht="12.75">
      <c r="C80" s="119">
        <v>1</v>
      </c>
      <c r="D80" s="119">
        <v>2.369481711210722</v>
      </c>
      <c r="E80" s="119">
        <v>-0.009481711210721944</v>
      </c>
      <c r="R80" s="116">
        <f>Z5</f>
        <v>96</v>
      </c>
      <c r="S80" s="128">
        <f t="shared" si="29"/>
        <v>2.728808460989892</v>
      </c>
      <c r="T80" s="111">
        <f>Z43</f>
        <v>2.71</v>
      </c>
      <c r="U80" s="70">
        <v>0.0997852864730478</v>
      </c>
      <c r="V80" s="111">
        <f t="shared" si="28"/>
        <v>3.24</v>
      </c>
      <c r="W80" s="181">
        <v>1.89</v>
      </c>
    </row>
    <row r="81" spans="3:23" ht="12.75">
      <c r="C81" s="119">
        <v>2</v>
      </c>
      <c r="D81" s="119">
        <v>2.211509320185746</v>
      </c>
      <c r="E81" s="119">
        <v>0.06849067981425394</v>
      </c>
      <c r="R81" s="129">
        <f>AA5</f>
        <v>97</v>
      </c>
      <c r="S81" s="128">
        <f t="shared" si="29"/>
        <v>2.783414659595677</v>
      </c>
      <c r="T81" s="130">
        <f>AA43</f>
        <v>2.43</v>
      </c>
      <c r="U81" s="70">
        <v>0.08964418481147106</v>
      </c>
      <c r="V81" s="111">
        <f t="shared" si="28"/>
        <v>2.71</v>
      </c>
      <c r="W81" s="181">
        <v>1.89</v>
      </c>
    </row>
    <row r="82" spans="3:23" ht="12.75">
      <c r="C82" s="119">
        <v>3</v>
      </c>
      <c r="D82" s="119">
        <v>2.518031524784547</v>
      </c>
      <c r="E82" s="119">
        <v>-0.14803152478454695</v>
      </c>
      <c r="R82" s="131">
        <f>AB5</f>
        <v>98</v>
      </c>
      <c r="S82" s="128">
        <f t="shared" si="29"/>
        <v>2.2232917406651733</v>
      </c>
      <c r="T82" s="132">
        <f>AB43</f>
        <v>1.94</v>
      </c>
      <c r="U82" s="70">
        <v>0.19366650478398018</v>
      </c>
      <c r="V82" s="111">
        <f t="shared" si="28"/>
        <v>2.43</v>
      </c>
      <c r="W82" s="113"/>
    </row>
    <row r="83" spans="3:5" ht="12.75">
      <c r="C83" s="119">
        <v>4</v>
      </c>
      <c r="D83" s="119">
        <v>1.926342652806082</v>
      </c>
      <c r="E83" s="119">
        <v>0.14365734719391776</v>
      </c>
    </row>
    <row r="84" spans="3:5" ht="12.75">
      <c r="C84" s="119">
        <v>5</v>
      </c>
      <c r="D84" s="119">
        <v>2.6651353438119196</v>
      </c>
      <c r="E84" s="119">
        <v>-0.16513534381191963</v>
      </c>
    </row>
    <row r="85" spans="3:21" ht="12.75">
      <c r="C85" s="119">
        <v>6</v>
      </c>
      <c r="D85" s="119">
        <v>2.37385145851458</v>
      </c>
      <c r="E85" s="119">
        <v>-0.11385145851458</v>
      </c>
      <c r="R85" s="70" t="s">
        <v>212</v>
      </c>
      <c r="T85" s="133">
        <f>AVERAGEA(T73:T80)</f>
        <v>2.47375</v>
      </c>
      <c r="U85" s="70">
        <f>AVERAGEA(U73:U80)</f>
        <v>0.1471530551254107</v>
      </c>
    </row>
    <row r="86" spans="3:21" ht="12.75">
      <c r="C86" s="119">
        <v>7</v>
      </c>
      <c r="D86" s="119">
        <v>2.9968395276965096</v>
      </c>
      <c r="E86" s="119">
        <v>0.24316047230349058</v>
      </c>
      <c r="R86" s="70" t="s">
        <v>213</v>
      </c>
      <c r="T86" s="133">
        <f>STDEVA(T73:T80)</f>
        <v>0.3612651380911266</v>
      </c>
      <c r="U86" s="134">
        <f>STDEVA(U73:U80)</f>
        <v>0.0614557472185595</v>
      </c>
    </row>
    <row r="87" spans="3:5" ht="13.5" thickBot="1">
      <c r="C87" s="120">
        <v>8</v>
      </c>
      <c r="D87" s="120">
        <v>2.728808460989892</v>
      </c>
      <c r="E87" s="120">
        <v>-0.018808460989891973</v>
      </c>
    </row>
    <row r="88" spans="3:5" ht="12.75">
      <c r="C88" s="119"/>
      <c r="D88" s="119"/>
      <c r="E88" s="119"/>
    </row>
    <row r="89" spans="3:5" ht="12.75">
      <c r="C89" s="119"/>
      <c r="D89" s="119"/>
      <c r="E89" s="119"/>
    </row>
    <row r="90" spans="3:5" ht="12.75">
      <c r="C90" s="119"/>
      <c r="D90" s="119"/>
      <c r="E90" s="119"/>
    </row>
    <row r="91" spans="3:5" ht="12.75">
      <c r="C91" s="119"/>
      <c r="D91" s="119"/>
      <c r="E91" s="119"/>
    </row>
    <row r="92" spans="3:5" ht="12.75">
      <c r="C92" s="119"/>
      <c r="D92" s="119"/>
      <c r="E92" s="119"/>
    </row>
    <row r="93" spans="3:5" ht="12.75">
      <c r="C93" s="119"/>
      <c r="D93" s="119"/>
      <c r="E93" s="119"/>
    </row>
    <row r="94" spans="3:5" ht="12.75">
      <c r="C94" s="119"/>
      <c r="D94" s="119"/>
      <c r="E94" s="119"/>
    </row>
  </sheetData>
  <sheetProtection/>
  <printOptions gridLines="1"/>
  <pageMargins left="0.75" right="0.75" top="1" bottom="1" header="0.5" footer="0.5"/>
  <pageSetup fitToWidth="2" fitToHeight="1" orientation="landscape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zoomScale="60" zoomScaleNormal="60" zoomScalePageLayoutView="0" workbookViewId="0" topLeftCell="A1">
      <selection activeCell="A44" sqref="A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zoomScale="70" zoomScaleNormal="7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zoomScale="60" zoomScaleNormal="6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Rich Llewelyn</cp:lastModifiedBy>
  <cp:lastPrinted>2007-10-12T15:11:13Z</cp:lastPrinted>
  <dcterms:created xsi:type="dcterms:W3CDTF">2004-04-12T19:10:10Z</dcterms:created>
  <dcterms:modified xsi:type="dcterms:W3CDTF">2021-02-10T16:39:00Z</dcterms:modified>
  <cp:category/>
  <cp:version/>
  <cp:contentType/>
  <cp:contentStatus/>
</cp:coreProperties>
</file>