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53222"/>
  <mc:AlternateContent xmlns:mc="http://schemas.openxmlformats.org/markup-compatibility/2006">
    <mc:Choice Requires="x15">
      <x15ac:absPath xmlns:x15ac="http://schemas.microsoft.com/office/spreadsheetml/2010/11/ac" url="C:\Users\robinreid\Dropbox\Livestock Farm Management Guides\December 2016 Updates\"/>
    </mc:Choice>
  </mc:AlternateContent>
  <bookViews>
    <workbookView xWindow="0" yWindow="0" windowWidth="23040" windowHeight="9120"/>
  </bookViews>
  <sheets>
    <sheet name="Introduction" sheetId="7" r:id="rId1"/>
    <sheet name="Prices" sheetId="2" r:id="rId2"/>
    <sheet name="Feed" sheetId="4" r:id="rId3"/>
    <sheet name="Once a Year Lambing" sheetId="3" r:id="rId4"/>
    <sheet name="Stocker" sheetId="5" state="hidden" r:id="rId5"/>
    <sheet name="Feedlot" sheetId="6" state="hidden" r:id="rId6"/>
  </sheets>
  <externalReferences>
    <externalReference r:id="rId7"/>
  </externalReferences>
  <definedNames>
    <definedName name="data">[1]kcd!$B$10:$AZ$1374</definedName>
    <definedName name="price_selections">Prices!$A$1:$A$3</definedName>
    <definedName name="_xlnm.Print_Area" localSheetId="2">Feed!$B$1:$L$29</definedName>
    <definedName name="_xlnm.Print_Area" localSheetId="5">Feedlot!$A$1:$J$134</definedName>
    <definedName name="_xlnm.Print_Area" localSheetId="0">Introduction!$A$1:$M$55</definedName>
    <definedName name="_xlnm.Print_Area" localSheetId="3">'Once a Year Lambing'!$A$1:$J$131</definedName>
    <definedName name="_xlnm.Print_Area" localSheetId="1">Prices!$A$4:$F$16</definedName>
    <definedName name="_xlnm.Print_Area" localSheetId="4">Stocker!$A$1:$J$136</definedName>
    <definedName name="Z_7F8F69BA_F1D1_4483_B535_1A9BCCCC12B7_.wvu.PrintArea" localSheetId="0" hidden="1">Introduction!$B$2:$L$43</definedName>
    <definedName name="Z_7F8F69BA_F1D1_4483_B535_1A9BCCCC12B7_.wvu.Rows" localSheetId="0" hidden="1">Introduction!#REF!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3" l="1"/>
  <c r="A131" i="3" l="1"/>
  <c r="A94" i="3"/>
  <c r="A115" i="3" l="1"/>
  <c r="I47" i="3"/>
  <c r="C123" i="3"/>
  <c r="C122" i="3"/>
  <c r="B123" i="3"/>
  <c r="B8" i="3"/>
  <c r="B122" i="3" l="1"/>
  <c r="B9" i="3"/>
  <c r="A123" i="3"/>
  <c r="A122" i="3"/>
  <c r="C121" i="3" l="1"/>
  <c r="C120" i="3"/>
  <c r="C119" i="3"/>
  <c r="B119" i="3"/>
  <c r="C118" i="3"/>
  <c r="A121" i="3"/>
  <c r="A120" i="3"/>
  <c r="A119" i="3"/>
  <c r="A118" i="3"/>
  <c r="C117" i="3"/>
  <c r="B117" i="3"/>
  <c r="A117" i="3"/>
  <c r="C116" i="3"/>
  <c r="C115" i="3"/>
  <c r="B115" i="3"/>
  <c r="A116" i="3"/>
  <c r="B120" i="3" l="1"/>
  <c r="B15" i="3"/>
  <c r="B18" i="3"/>
  <c r="B121" i="3"/>
  <c r="B118" i="3"/>
  <c r="B116" i="3"/>
  <c r="J8" i="3"/>
  <c r="J22" i="3" l="1"/>
  <c r="E21" i="3"/>
  <c r="J21" i="3" l="1"/>
  <c r="J38" i="3" l="1"/>
  <c r="E18" i="3" l="1"/>
  <c r="J18" i="3" l="1"/>
  <c r="J19" i="3" l="1"/>
  <c r="J20" i="3"/>
  <c r="C12" i="4" l="1"/>
  <c r="B17" i="3" s="1"/>
  <c r="C9" i="4"/>
  <c r="B16" i="3" s="1"/>
  <c r="E17" i="3" l="1"/>
  <c r="J17" i="3" s="1"/>
  <c r="B20" i="4"/>
  <c r="E16" i="3"/>
  <c r="J16" i="3" l="1"/>
  <c r="H9" i="3" l="1"/>
  <c r="E15" i="3"/>
  <c r="B108" i="3"/>
  <c r="B102" i="3"/>
  <c r="B103" i="3"/>
  <c r="B104" i="3"/>
  <c r="B105" i="3"/>
  <c r="B106" i="3"/>
  <c r="B107" i="3"/>
  <c r="B109" i="3"/>
  <c r="B101" i="3"/>
  <c r="C102" i="3"/>
  <c r="C103" i="3"/>
  <c r="C104" i="3"/>
  <c r="C105" i="3"/>
  <c r="C106" i="3"/>
  <c r="C107" i="3"/>
  <c r="C108" i="3"/>
  <c r="C109" i="3"/>
  <c r="C101" i="3"/>
  <c r="A102" i="3"/>
  <c r="A103" i="3"/>
  <c r="A104" i="3"/>
  <c r="A105" i="3"/>
  <c r="A106" i="3"/>
  <c r="A107" i="3"/>
  <c r="A108" i="3"/>
  <c r="A109" i="3"/>
  <c r="A101" i="3"/>
  <c r="J15" i="3" l="1"/>
  <c r="J30" i="3" s="1"/>
  <c r="J40" i="3" l="1"/>
  <c r="E8" i="6"/>
  <c r="J18" i="6" l="1"/>
  <c r="J21" i="5"/>
  <c r="E19" i="6" l="1"/>
  <c r="E22" i="5" l="1"/>
  <c r="I14" i="4" l="1"/>
  <c r="B8" i="6" l="1"/>
  <c r="E20" i="5" l="1"/>
  <c r="B98" i="6" l="1"/>
  <c r="B99" i="6"/>
  <c r="B100" i="6"/>
  <c r="B102" i="6"/>
  <c r="B103" i="6"/>
  <c r="B104" i="6"/>
  <c r="B106" i="6"/>
  <c r="B100" i="5"/>
  <c r="B101" i="5"/>
  <c r="B102" i="5"/>
  <c r="B103" i="5"/>
  <c r="B105" i="5"/>
  <c r="B106" i="5"/>
  <c r="B107" i="5"/>
  <c r="B109" i="5"/>
  <c r="B99" i="5"/>
  <c r="E116" i="6" l="1"/>
  <c r="B116" i="6"/>
  <c r="E115" i="6"/>
  <c r="B115" i="6"/>
  <c r="B125" i="6"/>
  <c r="B124" i="6"/>
  <c r="B123" i="6"/>
  <c r="B122" i="6"/>
  <c r="B121" i="6"/>
  <c r="B119" i="6"/>
  <c r="E118" i="6"/>
  <c r="B118" i="6"/>
  <c r="E117" i="6"/>
  <c r="B117" i="6"/>
  <c r="J44" i="6"/>
  <c r="J91" i="6" s="1"/>
  <c r="J134" i="6" s="1"/>
  <c r="B127" i="5"/>
  <c r="B126" i="5"/>
  <c r="B125" i="5"/>
  <c r="B124" i="5"/>
  <c r="B123" i="5"/>
  <c r="B121" i="5"/>
  <c r="E120" i="5"/>
  <c r="B120" i="5"/>
  <c r="E119" i="5"/>
  <c r="B119" i="5"/>
  <c r="E118" i="5"/>
  <c r="B118" i="5"/>
  <c r="E117" i="5"/>
  <c r="J45" i="5"/>
  <c r="J92" i="5" s="1"/>
  <c r="J136" i="5" s="1"/>
  <c r="I13" i="4" l="1"/>
  <c r="B19" i="5" l="1"/>
  <c r="E19" i="5"/>
  <c r="B108" i="5"/>
  <c r="I22" i="4"/>
  <c r="I10" i="4"/>
  <c r="C23" i="4"/>
  <c r="B101" i="6" l="1"/>
  <c r="E18" i="5"/>
  <c r="B104" i="5"/>
  <c r="B18" i="5"/>
  <c r="E15" i="6"/>
  <c r="E17" i="6" l="1"/>
  <c r="I26" i="4"/>
  <c r="B9" i="6"/>
  <c r="J5" i="6"/>
  <c r="J19" i="6"/>
  <c r="B17" i="6"/>
  <c r="E17" i="5"/>
  <c r="E16" i="5"/>
  <c r="J22" i="5"/>
  <c r="B20" i="5"/>
  <c r="B17" i="5"/>
  <c r="B16" i="5"/>
  <c r="E10" i="5"/>
  <c r="E9" i="5" s="1"/>
  <c r="B9" i="5"/>
  <c r="J25" i="6" l="1"/>
  <c r="J24" i="6"/>
  <c r="J23" i="6"/>
  <c r="J22" i="6"/>
  <c r="J21" i="6"/>
  <c r="J20" i="6"/>
  <c r="B105" i="6"/>
  <c r="J8" i="6"/>
  <c r="J9" i="6"/>
  <c r="J10" i="6" s="1"/>
  <c r="E16" i="6"/>
  <c r="B16" i="6"/>
  <c r="J17" i="6"/>
  <c r="J17" i="5"/>
  <c r="J18" i="5"/>
  <c r="J16" i="5"/>
  <c r="J20" i="5"/>
  <c r="C27" i="4"/>
  <c r="J9" i="5" l="1"/>
  <c r="J5" i="5"/>
  <c r="J27" i="5" s="1"/>
  <c r="J16" i="6"/>
  <c r="J34" i="6"/>
  <c r="J12" i="6"/>
  <c r="J28" i="5" l="1"/>
  <c r="J24" i="5"/>
  <c r="J23" i="5"/>
  <c r="J26" i="5"/>
  <c r="J25" i="5"/>
  <c r="J19" i="5"/>
  <c r="J29" i="5" l="1"/>
  <c r="J37" i="5"/>
  <c r="J39" i="5" l="1"/>
  <c r="I94" i="3"/>
  <c r="I131" i="3" s="1"/>
  <c r="C5" i="2" l="1"/>
  <c r="C4" i="2"/>
  <c r="B4" i="2"/>
  <c r="G1" i="5" l="1"/>
  <c r="G1" i="6"/>
  <c r="G1" i="3"/>
  <c r="J9" i="3" l="1"/>
  <c r="J12" i="3" s="1"/>
  <c r="J42" i="3" l="1"/>
  <c r="J43" i="3"/>
  <c r="C116" i="6"/>
  <c r="C115" i="6" l="1"/>
  <c r="C118" i="5"/>
  <c r="B120" i="6"/>
  <c r="B122" i="5"/>
  <c r="B15" i="6"/>
  <c r="J15" i="6" s="1"/>
  <c r="J26" i="6" s="1"/>
  <c r="C120" i="5"/>
  <c r="C118" i="6"/>
  <c r="C117" i="6"/>
  <c r="C119" i="5"/>
  <c r="E121" i="6" l="1"/>
  <c r="E123" i="5"/>
  <c r="E120" i="6"/>
  <c r="E122" i="5"/>
  <c r="J36" i="6"/>
  <c r="J39" i="6" s="1"/>
  <c r="J38" i="6"/>
  <c r="E122" i="6"/>
  <c r="E124" i="5"/>
  <c r="C124" i="6" l="1"/>
  <c r="C126" i="5"/>
  <c r="C125" i="6"/>
  <c r="C127" i="5"/>
  <c r="C117" i="5"/>
  <c r="E125" i="5"/>
  <c r="E123" i="6"/>
  <c r="B10" i="5"/>
  <c r="J10" i="5" s="1"/>
  <c r="J11" i="5" s="1"/>
  <c r="J13" i="5" s="1"/>
  <c r="B117" i="5"/>
  <c r="E127" i="5"/>
  <c r="E125" i="6"/>
  <c r="E124" i="6"/>
  <c r="E126" i="5"/>
  <c r="C123" i="6"/>
  <c r="C125" i="5"/>
  <c r="B116" i="5"/>
  <c r="J41" i="5" l="1"/>
  <c r="J42" i="5"/>
  <c r="E116" i="5"/>
  <c r="C116" i="5"/>
  <c r="C120" i="6" l="1"/>
  <c r="C122" i="5"/>
  <c r="C124" i="5"/>
  <c r="C122" i="6"/>
  <c r="C121" i="6"/>
  <c r="C123" i="5"/>
  <c r="E119" i="6"/>
  <c r="E121" i="5"/>
  <c r="C119" i="6" l="1"/>
  <c r="C121" i="5"/>
</calcChain>
</file>

<file path=xl/comments1.xml><?xml version="1.0" encoding="utf-8"?>
<comments xmlns="http://schemas.openxmlformats.org/spreadsheetml/2006/main">
  <authors>
    <author>Glynn Tonsor</author>
  </authors>
  <commentList>
    <comment ref="D10" authorId="0" shapeId="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F10" authorId="0" shapeId="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D11" authorId="0" shapeId="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 ref="F11" authorId="0" shapeId="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List>
</comments>
</file>

<file path=xl/sharedStrings.xml><?xml version="1.0" encoding="utf-8"?>
<sst xmlns="http://schemas.openxmlformats.org/spreadsheetml/2006/main" count="481" uniqueCount="175">
  <si>
    <t>Revenue</t>
  </si>
  <si>
    <t>Notes/source</t>
  </si>
  <si>
    <t>Production Efficiency Information</t>
  </si>
  <si>
    <t>Price</t>
  </si>
  <si>
    <t>Unit</t>
  </si>
  <si>
    <t>lbs</t>
  </si>
  <si>
    <t xml:space="preserve"> x</t>
  </si>
  <si>
    <t xml:space="preserve"> =</t>
  </si>
  <si>
    <t xml:space="preserve">  Gross Income</t>
  </si>
  <si>
    <t>Corn ($/bu)</t>
  </si>
  <si>
    <t>Soybean meal ($/ton)</t>
  </si>
  <si>
    <t>Variable Costs</t>
  </si>
  <si>
    <t>Fixed Costs</t>
  </si>
  <si>
    <t xml:space="preserve">  Total Fixed Costs</t>
  </si>
  <si>
    <t>Total Costs</t>
  </si>
  <si>
    <t xml:space="preserve">  Total Variable Costs</t>
  </si>
  <si>
    <t xml:space="preserve">Income Over Total Costs </t>
  </si>
  <si>
    <t>http://www.usda.gov/oce/commodity/projections/</t>
  </si>
  <si>
    <t>Qty</t>
  </si>
  <si>
    <t>Current Prices</t>
  </si>
  <si>
    <t>Total per Year</t>
  </si>
  <si>
    <t>Other</t>
  </si>
  <si>
    <t>Pasture</t>
  </si>
  <si>
    <t>Harvested Forage</t>
  </si>
  <si>
    <t>Crop Residue</t>
  </si>
  <si>
    <t>per acre</t>
  </si>
  <si>
    <t>per ton</t>
  </si>
  <si>
    <t>Mineral</t>
  </si>
  <si>
    <t>Grain/Protein Supplements</t>
  </si>
  <si>
    <t>Labor</t>
  </si>
  <si>
    <t>Vet Medicine/Drugs</t>
  </si>
  <si>
    <t>Utilities,Gas, Fuel, Oil</t>
  </si>
  <si>
    <t>Other variable costs</t>
  </si>
  <si>
    <t>Depreciation</t>
  </si>
  <si>
    <t>Income Over Variable Costs</t>
  </si>
  <si>
    <t>Current price *1.10</t>
  </si>
  <si>
    <t>USE deferred CME SB to Adjust off of Current price</t>
  </si>
  <si>
    <t>USE deferred CME C to Adjust off of Current price</t>
  </si>
  <si>
    <t>One Year Out Prices</t>
  </si>
  <si>
    <t>Adjust off of Corn Price</t>
  </si>
  <si>
    <t>Salt and Mineral</t>
  </si>
  <si>
    <t>per cwt</t>
  </si>
  <si>
    <r>
      <t xml:space="preserve">Kansas State University, Department of Agricultural Economics - </t>
    </r>
    <r>
      <rPr>
        <b/>
        <i/>
        <sz val="12"/>
        <color rgb="FF7030A0"/>
        <rFont val="Calibri"/>
        <family val="2"/>
        <scheme val="minor"/>
      </rPr>
      <t>www.agmanager.info</t>
    </r>
  </si>
  <si>
    <t>Purchase price</t>
  </si>
  <si>
    <t>Feeder Sale</t>
  </si>
  <si>
    <t>x</t>
  </si>
  <si>
    <t>=</t>
  </si>
  <si>
    <t>Death Loss</t>
  </si>
  <si>
    <t>Marketing costs</t>
  </si>
  <si>
    <t>Average Daily Gain</t>
  </si>
  <si>
    <t>Days on Feed</t>
  </si>
  <si>
    <t>Alfalfa</t>
  </si>
  <si>
    <t>lbs/day</t>
  </si>
  <si>
    <t>Corn</t>
  </si>
  <si>
    <t>DDG's</t>
  </si>
  <si>
    <t>Soybean Meal</t>
  </si>
  <si>
    <t xml:space="preserve">Stocker Feed Requirements </t>
  </si>
  <si>
    <t>per hour</t>
  </si>
  <si>
    <t>hours</t>
  </si>
  <si>
    <t>Machinery, Facility/Equip. Repairs</t>
  </si>
  <si>
    <t>Opportunity Cost of Investment</t>
  </si>
  <si>
    <t>Farm/Livestock Insurance</t>
  </si>
  <si>
    <t xml:space="preserve"> KSU Beef Stocker Budget</t>
  </si>
  <si>
    <t>Taxes</t>
  </si>
  <si>
    <t>Gross Return</t>
  </si>
  <si>
    <t>Total Gross Return</t>
  </si>
  <si>
    <t xml:space="preserve">(per animal unit) </t>
  </si>
  <si>
    <t>total acres</t>
  </si>
  <si>
    <t>total tons</t>
  </si>
  <si>
    <t>total lbs</t>
  </si>
  <si>
    <t>Hay ($/ton)</t>
  </si>
  <si>
    <t>Alfalfa ($/ton)</t>
  </si>
  <si>
    <t>Pasture Rental ($/acre)</t>
  </si>
  <si>
    <t>Crop Residue ($/acre)</t>
  </si>
  <si>
    <t>Mineral ($/ton)</t>
  </si>
  <si>
    <t>Other fixed costs</t>
  </si>
  <si>
    <t>Total Grain/Protein Supplements</t>
  </si>
  <si>
    <t>Total Harvested Forage</t>
  </si>
  <si>
    <t>Silage</t>
  </si>
  <si>
    <t>total acres for feeding period</t>
  </si>
  <si>
    <t>(per animal unit)</t>
  </si>
  <si>
    <t>total acres per year</t>
  </si>
  <si>
    <t>total lbs per year</t>
  </si>
  <si>
    <t>Silage ($/ton)</t>
  </si>
  <si>
    <t>total hours</t>
  </si>
  <si>
    <t>Budget Assumptions</t>
  </si>
  <si>
    <t>Current</t>
  </si>
  <si>
    <t>One Year Out</t>
  </si>
  <si>
    <t>Five Years Out</t>
  </si>
  <si>
    <t>Distillers Grains ($/ton)</t>
  </si>
  <si>
    <t>Heifer Calf Price ($/cwt)</t>
  </si>
  <si>
    <t>Feeder Steers($/cwt)</t>
  </si>
  <si>
    <t>Steer Calf Price ($/cwt)</t>
  </si>
  <si>
    <t xml:space="preserve">Backgrounding Feed Requirements </t>
  </si>
  <si>
    <t xml:space="preserve"> KSU Beef Finishing Budget</t>
  </si>
  <si>
    <t>Publication: AM-FMG-Finishing</t>
  </si>
  <si>
    <t>Publication: AM-FMG-Stocker</t>
  </si>
  <si>
    <t>Feeder Steers ($/cwt)</t>
  </si>
  <si>
    <t>5-area Fed Cattle ($/cwt)</t>
  </si>
  <si>
    <t>Fed Animal Sale</t>
  </si>
  <si>
    <t xml:space="preserve">Finishing Feed Requirements </t>
  </si>
  <si>
    <t xml:space="preserve">Click on "Current Prices" to change to "One Year Out Prices " or "Five Years Out Prices"
</t>
  </si>
  <si>
    <t>CWT Produced</t>
  </si>
  <si>
    <t>Other Livestock Breeding/Marketing</t>
  </si>
  <si>
    <t>total pounds for feeding period</t>
  </si>
  <si>
    <t>total tons for feeding period</t>
  </si>
  <si>
    <t>Days on Grass</t>
  </si>
  <si>
    <t>Equal to 8X the corn price</t>
  </si>
  <si>
    <t>Prairie/Brome Hay</t>
  </si>
  <si>
    <t>Default Stocker Prices</t>
  </si>
  <si>
    <t>Default Beef Finishing Prices</t>
  </si>
  <si>
    <t>Cash Interest Paid</t>
  </si>
  <si>
    <t>Other Income</t>
  </si>
  <si>
    <t>Other Feed</t>
  </si>
  <si>
    <t>per unit</t>
  </si>
  <si>
    <t>units</t>
  </si>
  <si>
    <t>SHEEP RATIONS TO SET FEED AND GRAZING COSTS</t>
  </si>
  <si>
    <t>Lamb Crop Percentage</t>
  </si>
  <si>
    <t>Ewe Replacement Percentage</t>
  </si>
  <si>
    <t>Cull Ewes</t>
  </si>
  <si>
    <t>Total per Year per Ewe</t>
  </si>
  <si>
    <t>Lbs.</t>
  </si>
  <si>
    <t>Shearing</t>
  </si>
  <si>
    <t>Other Variable Costs</t>
  </si>
  <si>
    <t>Other Fixed Costs</t>
  </si>
  <si>
    <t xml:space="preserve">Per Ewe Feed Requirements </t>
  </si>
  <si>
    <t xml:space="preserve">Ewe Feed Requirements </t>
  </si>
  <si>
    <t xml:space="preserve"> KSU Ewe Once-a-Year Lambing Budget</t>
  </si>
  <si>
    <t>Grain Sorghum</t>
  </si>
  <si>
    <t>(per ewe unit: ewes, rams, retained/replaced ewes, and lambs)</t>
  </si>
  <si>
    <t>lbs.</t>
  </si>
  <si>
    <t>(ewe, ram, retained/replaced ewes, lamb)</t>
  </si>
  <si>
    <t>Publication: AM-FMG-Once-a-Year Lambing</t>
  </si>
  <si>
    <t xml:space="preserve"> KSU Once-a-Year Lambing Budget</t>
  </si>
  <si>
    <t>Depreciation - Buildings/Equipment</t>
  </si>
  <si>
    <t>Depreciation - Livestock</t>
  </si>
  <si>
    <t>Taxes/Insurance - Farm &amp; Livestock</t>
  </si>
  <si>
    <t>Interest - Buildings/Equipment &amp; Livestock</t>
  </si>
  <si>
    <t>X</t>
  </si>
  <si>
    <t>Replacement Ewe</t>
  </si>
  <si>
    <t>hd</t>
  </si>
  <si>
    <t>Slaughter Lambs</t>
  </si>
  <si>
    <t>KSU-Sheep Farm Management Guide Budgets</t>
  </si>
  <si>
    <t>Excel spreadsheet for sheep enterprise budgeting to evaluate potential income, costs and profitability</t>
  </si>
  <si>
    <t>INTRODUCTION</t>
  </si>
  <si>
    <t>The Kansas State University cost-return budgets were developed to serve as a barometer of profitability for various livestock industry enterprises.  These budgets are NOT intended to represent any one operation.  Each individual operation should adjust key inputs to reflect their own situation.</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</si>
  <si>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</si>
  <si>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Blue</t>
    </r>
    <r>
      <rPr>
        <sz val="12"/>
        <rFont val="Calibri"/>
        <family val="2"/>
        <scheme val="minor"/>
      </rPr>
      <t xml:space="preserve"> values are inputs that should be changed from the defaults to match your operation.  Black values are automatically calculated.</t>
    </r>
  </si>
  <si>
    <t>FOR MORE INFORMATION:</t>
  </si>
  <si>
    <t>Developed by:</t>
  </si>
  <si>
    <t>Dustin L. Pendell, Ph.D.</t>
  </si>
  <si>
    <t>Robin Reid</t>
  </si>
  <si>
    <t>Agricultural Economist</t>
  </si>
  <si>
    <t>Extension Associate</t>
  </si>
  <si>
    <t>Department of Agricultural Economics</t>
  </si>
  <si>
    <t>Kansas State University</t>
  </si>
  <si>
    <t>dpendell@k-state.edu</t>
  </si>
  <si>
    <t>robinreid@ksu.edu</t>
  </si>
  <si>
    <t>785-532-3525</t>
  </si>
  <si>
    <t>785-532-0964</t>
  </si>
  <si>
    <t>ACKNOWLEDGEMENTS:</t>
  </si>
  <si>
    <t>Prairie Hay</t>
  </si>
  <si>
    <t>Default Sheep Prices</t>
  </si>
  <si>
    <t>Protein Supplement ($/ton)</t>
  </si>
  <si>
    <t>Protein Supplement</t>
  </si>
  <si>
    <t>per head</t>
  </si>
  <si>
    <t>Ram Charge</t>
  </si>
  <si>
    <t>The authors would like to thank DeWayne Craghead, Hodgeman County Extension Agent, for assistance in developing this budget.</t>
  </si>
  <si>
    <t>Version- 12.8.2016</t>
  </si>
  <si>
    <t>(as of Dec. 5th, 2016)</t>
  </si>
  <si>
    <t>Grain Sorghum ($/cwt)</t>
  </si>
  <si>
    <t>Prairie Hay ($/ton)</t>
  </si>
  <si>
    <t>Sheep Mineral ($/lb)</t>
  </si>
  <si>
    <t>Sept. Slaughter Lamb Price ($/cwt)</t>
  </si>
  <si>
    <t>Current Cull Ewe Price ($/cwt)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</si>
</sst>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43" formatCode="_(* #,##0.00_);_(* \(#,##0.00\);_(* &quot;-&quot;??_);_(@_)"/>
    <numFmt numFmtId="164" formatCode="0.0"/>
    <numFmt numFmtId="165" formatCode="0.0%"/>
    <numFmt numFmtId="166" formatCode="0.000"/>
    <numFmt numFmtId="167" formatCode="mm/dd/yy;@"/>
    <numFmt numFmtId="168" formatCode="&quot;$&quot;#,##0.00"/>
    <numFmt numFmtId="169" formatCode="_(* #,##0.0_);_(* \(#,##0.0\);_(* &quot;-&quot;??_);_(@_)"/>
    <numFmt numFmtId="170" formatCode="_(&quot;$&quot;* #,##0.000_);_(&quot;$&quot;* \(#,##0.000\);_(&quot;$&quot;*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rgb="FF0070C0"/>
      <name val="Calibri"/>
      <family val="2"/>
      <scheme val="minor"/>
    </font>
    <font>
      <sz val="9"/>
      <color indexed="81"/>
      <name val="Tahoma"/>
      <family val="2"/>
    </font>
    <font>
      <b/>
      <sz val="9"/>
      <color indexed="81"/>
      <name val="Tahoma"/>
      <family val="2"/>
    </font>
    <font>
      <i/>
      <sz val="11"/>
      <color theme="1"/>
      <name val="Calibri"/>
      <family val="2"/>
      <scheme val="minor"/>
    </font>
    <font>
      <b/>
      <i/>
      <sz val="11"/>
      <color theme="1"/>
      <name val="Calibri"/>
      <family val="2"/>
      <scheme val="minor"/>
    </font>
    <font>
      <b/>
      <u/>
      <sz val="11"/>
      <color theme="1"/>
      <name val="Calibri"/>
      <family val="2"/>
      <scheme val="minor"/>
    </font>
    <font>
      <b/>
      <sz val="11"/>
      <color rgb="FFFF0000"/>
      <name val="Calibri"/>
      <family val="2"/>
      <scheme val="minor"/>
    </font>
    <font>
      <b/>
      <i/>
      <sz val="11"/>
      <color rgb="FF7030A0"/>
      <name val="Calibri"/>
      <family val="2"/>
      <scheme val="minor"/>
    </font>
    <font>
      <b/>
      <sz val="11"/>
      <color rgb="FF7030A0"/>
      <name val="Calibri"/>
      <family val="2"/>
      <scheme val="minor"/>
    </font>
    <font>
      <b/>
      <sz val="14"/>
      <color rgb="FF7030A0"/>
      <name val="Calibri"/>
      <family val="2"/>
      <scheme val="minor"/>
    </font>
    <font>
      <u/>
      <sz val="11"/>
      <color theme="10"/>
      <name val="Calibri"/>
      <family val="2"/>
      <scheme val="minor"/>
    </font>
    <font>
      <b/>
      <sz val="11"/>
      <name val="Calibri"/>
      <family val="2"/>
      <scheme val="minor"/>
    </font>
    <font>
      <b/>
      <sz val="12"/>
      <color rgb="FF7030A0"/>
      <name val="Calibri"/>
      <family val="2"/>
      <scheme val="minor"/>
    </font>
    <font>
      <b/>
      <i/>
      <sz val="12"/>
      <color rgb="FF7030A0"/>
      <name val="Calibri"/>
      <family val="2"/>
      <scheme val="minor"/>
    </font>
    <font>
      <b/>
      <sz val="22"/>
      <color theme="1"/>
      <name val="Calibri"/>
      <family val="2"/>
      <scheme val="minor"/>
    </font>
    <font>
      <sz val="11"/>
      <color theme="0"/>
      <name val="Calibri"/>
      <family val="2"/>
      <scheme val="minor"/>
    </font>
    <font>
      <b/>
      <sz val="11"/>
      <color rgb="FF000000"/>
      <name val="Calibri"/>
      <family val="2"/>
    </font>
    <font>
      <sz val="11"/>
      <color rgb="FF0070C0"/>
      <name val="Calibri"/>
      <family val="2"/>
      <scheme val="minor"/>
    </font>
    <font>
      <sz val="11"/>
      <color rgb="FFFF0000"/>
      <name val="Calibri"/>
      <family val="2"/>
      <scheme val="minor"/>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sz val="10"/>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tint="-0.499984740745262"/>
        <bgColor indexed="64"/>
      </patternFill>
    </fill>
    <fill>
      <patternFill patternType="solid">
        <fgColor rgb="FF7030A0"/>
        <bgColor indexed="64"/>
      </patternFill>
    </fill>
  </fills>
  <borders count="16">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s>
  <cellStyleXfs count="7">
    <xf numFmtId="0" fontId="0" fillId="0" borderId="0"/>
    <xf numFmtId="44" fontId="1"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0" fontId="43" fillId="0" borderId="0" applyNumberFormat="0" applyFill="0" applyBorder="0" applyAlignment="0" applyProtection="0">
      <alignment vertical="top"/>
      <protection locked="0"/>
    </xf>
    <xf numFmtId="0" fontId="45" fillId="0" borderId="0"/>
    <xf numFmtId="0" fontId="43" fillId="0" borderId="0" applyNumberFormat="0" applyFill="0" applyBorder="0" applyAlignment="0" applyProtection="0">
      <alignment vertical="top"/>
      <protection locked="0"/>
    </xf>
  </cellStyleXfs>
  <cellXfs count="236">
    <xf numFmtId="0" fontId="0" fillId="0" borderId="0" xfId="0"/>
    <xf numFmtId="44" fontId="4" fillId="0" borderId="0" xfId="1" applyFont="1" applyAlignment="1">
      <alignment horizontal="center"/>
    </xf>
    <xf numFmtId="0" fontId="2" fillId="0" borderId="0" xfId="0" applyFont="1"/>
    <xf numFmtId="164" fontId="4" fillId="0" borderId="0" xfId="0" applyNumberFormat="1" applyFont="1" applyAlignment="1">
      <alignment horizontal="center"/>
    </xf>
    <xf numFmtId="44" fontId="0" fillId="0" borderId="0" xfId="0" applyNumberFormat="1"/>
    <xf numFmtId="2" fontId="0" fillId="0" borderId="0" xfId="0" applyNumberFormat="1"/>
    <xf numFmtId="0" fontId="7" fillId="0" borderId="0" xfId="0" applyFont="1"/>
    <xf numFmtId="0" fontId="8" fillId="0" borderId="0" xfId="0" applyFont="1"/>
    <xf numFmtId="44" fontId="2" fillId="0" borderId="0" xfId="0" applyNumberFormat="1" applyFont="1"/>
    <xf numFmtId="0" fontId="9" fillId="0" borderId="0" xfId="0" applyFont="1"/>
    <xf numFmtId="0" fontId="0" fillId="0" borderId="0" xfId="0" applyAlignment="1">
      <alignment horizontal="center"/>
    </xf>
    <xf numFmtId="2" fontId="0" fillId="0" borderId="0" xfId="0" applyNumberFormat="1" applyAlignment="1">
      <alignment horizontal="center"/>
    </xf>
    <xf numFmtId="0" fontId="0" fillId="0" borderId="1" xfId="0" applyBorder="1"/>
    <xf numFmtId="0" fontId="0" fillId="0" borderId="1" xfId="0" applyBorder="1" applyAlignment="1">
      <alignment horizontal="center"/>
    </xf>
    <xf numFmtId="0" fontId="2" fillId="0" borderId="1" xfId="0" applyFont="1" applyBorder="1" applyAlignment="1">
      <alignment horizontal="center" vertical="center" wrapText="1"/>
    </xf>
    <xf numFmtId="44" fontId="2" fillId="0" borderId="1" xfId="0" applyNumberFormat="1" applyFont="1" applyBorder="1"/>
    <xf numFmtId="44" fontId="2" fillId="0" borderId="0" xfId="0" applyNumberFormat="1" applyFont="1" applyBorder="1"/>
    <xf numFmtId="0" fontId="8" fillId="0" borderId="1" xfId="0" applyFont="1" applyBorder="1"/>
    <xf numFmtId="0" fontId="11" fillId="0" borderId="0" xfId="0" applyFont="1" applyFill="1" applyAlignment="1">
      <alignment horizontal="right"/>
    </xf>
    <xf numFmtId="0" fontId="12" fillId="0" borderId="0" xfId="0" applyFont="1" applyFill="1"/>
    <xf numFmtId="0" fontId="0" fillId="0" borderId="0" xfId="0" applyFill="1"/>
    <xf numFmtId="0" fontId="0" fillId="0" borderId="0" xfId="0" applyFill="1" applyAlignment="1">
      <alignment horizontal="center"/>
    </xf>
    <xf numFmtId="44" fontId="2" fillId="0" borderId="2" xfId="0" applyNumberFormat="1" applyFont="1" applyBorder="1"/>
    <xf numFmtId="0" fontId="2" fillId="2" borderId="0" xfId="0" applyFont="1" applyFill="1"/>
    <xf numFmtId="0" fontId="0" fillId="3" borderId="0" xfId="0" applyFill="1"/>
    <xf numFmtId="0" fontId="2" fillId="3" borderId="0" xfId="0" applyFont="1" applyFill="1"/>
    <xf numFmtId="0" fontId="0" fillId="0" borderId="0" xfId="0" applyAlignment="1">
      <alignment horizontal="left"/>
    </xf>
    <xf numFmtId="2" fontId="4" fillId="0" borderId="0" xfId="0" applyNumberFormat="1" applyFont="1" applyAlignment="1">
      <alignment horizontal="center"/>
    </xf>
    <xf numFmtId="0" fontId="2" fillId="0" borderId="0" xfId="0" applyFont="1" applyBorder="1"/>
    <xf numFmtId="0" fontId="0" fillId="0" borderId="0" xfId="0" applyBorder="1"/>
    <xf numFmtId="0" fontId="0" fillId="0" borderId="0" xfId="0" applyBorder="1" applyAlignment="1">
      <alignment horizontal="center"/>
    </xf>
    <xf numFmtId="1" fontId="4" fillId="0" borderId="0" xfId="0" applyNumberFormat="1" applyFont="1" applyAlignment="1">
      <alignment horizontal="center"/>
    </xf>
    <xf numFmtId="0" fontId="16" fillId="2" borderId="1" xfId="0" applyFont="1" applyFill="1" applyBorder="1" applyAlignment="1">
      <alignment horizontal="left"/>
    </xf>
    <xf numFmtId="0" fontId="0" fillId="4" borderId="0" xfId="0" applyFill="1"/>
    <xf numFmtId="0" fontId="14" fillId="4" borderId="0" xfId="2" applyFill="1"/>
    <xf numFmtId="17" fontId="0" fillId="0" borderId="0" xfId="0" applyNumberFormat="1"/>
    <xf numFmtId="0" fontId="7" fillId="0" borderId="1" xfId="0" applyFont="1" applyBorder="1"/>
    <xf numFmtId="164" fontId="4" fillId="0" borderId="1" xfId="0" applyNumberFormat="1" applyFont="1" applyBorder="1" applyAlignment="1">
      <alignment horizontal="center"/>
    </xf>
    <xf numFmtId="2" fontId="0" fillId="0" borderId="1" xfId="0" applyNumberFormat="1" applyBorder="1"/>
    <xf numFmtId="2" fontId="0" fillId="0" borderId="1" xfId="0" applyNumberFormat="1" applyBorder="1" applyAlignment="1">
      <alignment horizontal="center"/>
    </xf>
    <xf numFmtId="0" fontId="0" fillId="0" borderId="0" xfId="0" applyAlignment="1">
      <alignment horizontal="center"/>
    </xf>
    <xf numFmtId="1" fontId="3" fillId="0" borderId="0" xfId="0" applyNumberFormat="1" applyFont="1" applyAlignment="1">
      <alignment horizontal="center"/>
    </xf>
    <xf numFmtId="0" fontId="4" fillId="0" borderId="0" xfId="0" applyFont="1"/>
    <xf numFmtId="0" fontId="0" fillId="0" borderId="0" xfId="0" applyAlignment="1">
      <alignment horizontal="right"/>
    </xf>
    <xf numFmtId="0" fontId="2" fillId="0" borderId="0" xfId="0" applyFont="1" applyBorder="1" applyAlignment="1">
      <alignment horizontal="center" vertical="center" wrapText="1"/>
    </xf>
    <xf numFmtId="164" fontId="3" fillId="0" borderId="0" xfId="0" applyNumberFormat="1" applyFont="1" applyAlignment="1">
      <alignment horizontal="center"/>
    </xf>
    <xf numFmtId="0" fontId="0" fillId="0" borderId="4" xfId="0" applyBorder="1"/>
    <xf numFmtId="0" fontId="2" fillId="5" borderId="4" xfId="0" applyFont="1" applyFill="1" applyBorder="1"/>
    <xf numFmtId="164" fontId="4" fillId="0" borderId="0" xfId="0" applyNumberFormat="1" applyFont="1"/>
    <xf numFmtId="1" fontId="0" fillId="0" borderId="0" xfId="0" applyNumberFormat="1"/>
    <xf numFmtId="0" fontId="0" fillId="0" borderId="0" xfId="0" applyFill="1" applyBorder="1"/>
    <xf numFmtId="0" fontId="0" fillId="0" borderId="1" xfId="0" applyFill="1" applyBorder="1"/>
    <xf numFmtId="0" fontId="0" fillId="0" borderId="3" xfId="0" applyBorder="1" applyAlignment="1">
      <alignment horizontal="center"/>
    </xf>
    <xf numFmtId="0" fontId="8" fillId="0" borderId="3" xfId="0" applyFont="1" applyBorder="1"/>
    <xf numFmtId="0" fontId="0" fillId="0" borderId="3" xfId="0" applyBorder="1"/>
    <xf numFmtId="44" fontId="2" fillId="0" borderId="3" xfId="0" applyNumberFormat="1" applyFont="1" applyBorder="1"/>
    <xf numFmtId="2" fontId="3" fillId="0" borderId="0" xfId="0" applyNumberFormat="1" applyFont="1" applyAlignment="1">
      <alignment horizontal="center"/>
    </xf>
    <xf numFmtId="0" fontId="2" fillId="0" borderId="5" xfId="0" applyFont="1" applyBorder="1"/>
    <xf numFmtId="44" fontId="0" fillId="0" borderId="0" xfId="0" applyNumberFormat="1" applyBorder="1"/>
    <xf numFmtId="0" fontId="2" fillId="0" borderId="5" xfId="0" applyFont="1" applyBorder="1" applyAlignment="1">
      <alignment horizontal="center" vertical="center" wrapText="1"/>
    </xf>
    <xf numFmtId="44" fontId="0" fillId="0" borderId="0" xfId="0" applyNumberFormat="1" applyBorder="1" applyAlignment="1">
      <alignment horizontal="center"/>
    </xf>
    <xf numFmtId="0" fontId="16" fillId="0" borderId="0" xfId="0" applyFont="1" applyFill="1" applyBorder="1" applyAlignment="1">
      <alignment horizontal="left"/>
    </xf>
    <xf numFmtId="0" fontId="16" fillId="0" borderId="0" xfId="0" applyFont="1"/>
    <xf numFmtId="44" fontId="0" fillId="0" borderId="0" xfId="0" applyNumberFormat="1" applyBorder="1" applyAlignment="1">
      <alignment horizontal="center"/>
    </xf>
    <xf numFmtId="0" fontId="0" fillId="0" borderId="0" xfId="0" applyBorder="1" applyAlignment="1">
      <alignment horizontal="center"/>
    </xf>
    <xf numFmtId="0" fontId="2" fillId="0" borderId="5" xfId="0" applyFont="1" applyBorder="1" applyAlignment="1">
      <alignment horizontal="center" vertical="center" wrapText="1"/>
    </xf>
    <xf numFmtId="0" fontId="0" fillId="0" borderId="0" xfId="0" applyAlignment="1">
      <alignment horizontal="center"/>
    </xf>
    <xf numFmtId="166" fontId="3" fillId="0" borderId="0" xfId="0" applyNumberFormat="1" applyFont="1" applyAlignment="1">
      <alignment horizontal="center"/>
    </xf>
    <xf numFmtId="166" fontId="4" fillId="0" borderId="0" xfId="0" applyNumberFormat="1" applyFont="1" applyAlignment="1">
      <alignment horizontal="center"/>
    </xf>
    <xf numFmtId="0" fontId="10" fillId="0" borderId="0" xfId="0" applyFont="1" applyFill="1"/>
    <xf numFmtId="0" fontId="19" fillId="6" borderId="0" xfId="0" applyFont="1" applyFill="1" applyAlignment="1"/>
    <xf numFmtId="0" fontId="19" fillId="6" borderId="0" xfId="0" applyFont="1" applyFill="1"/>
    <xf numFmtId="0" fontId="13" fillId="0" borderId="0" xfId="0" applyFont="1" applyFill="1" applyBorder="1" applyAlignment="1">
      <alignment horizontal="center" vertical="center" wrapText="1"/>
    </xf>
    <xf numFmtId="166" fontId="0" fillId="0" borderId="0" xfId="0" applyNumberFormat="1"/>
    <xf numFmtId="0" fontId="2" fillId="5" borderId="6" xfId="0" applyFont="1" applyFill="1" applyBorder="1"/>
    <xf numFmtId="0" fontId="0" fillId="0" borderId="7" xfId="0" applyBorder="1"/>
    <xf numFmtId="0" fontId="0" fillId="0" borderId="8" xfId="0" applyBorder="1"/>
    <xf numFmtId="0" fontId="2" fillId="0" borderId="9" xfId="0" applyFont="1" applyBorder="1"/>
    <xf numFmtId="0" fontId="0" fillId="0" borderId="10" xfId="0" applyBorder="1"/>
    <xf numFmtId="0" fontId="0" fillId="0" borderId="9" xfId="0" applyBorder="1"/>
    <xf numFmtId="0" fontId="7" fillId="0" borderId="0" xfId="0" applyFont="1" applyBorder="1"/>
    <xf numFmtId="0" fontId="0" fillId="0" borderId="9" xfId="0" applyBorder="1" applyAlignment="1">
      <alignment horizontal="right"/>
    </xf>
    <xf numFmtId="2" fontId="3" fillId="0" borderId="0" xfId="0" applyNumberFormat="1" applyFont="1" applyBorder="1" applyAlignment="1">
      <alignment horizontal="center"/>
    </xf>
    <xf numFmtId="0" fontId="0" fillId="0" borderId="11" xfId="0" applyBorder="1"/>
    <xf numFmtId="0" fontId="7" fillId="0" borderId="4" xfId="0" applyFont="1" applyBorder="1"/>
    <xf numFmtId="0" fontId="0" fillId="0" borderId="12" xfId="0" applyBorder="1"/>
    <xf numFmtId="0" fontId="0" fillId="0" borderId="13" xfId="0" applyBorder="1"/>
    <xf numFmtId="44" fontId="0" fillId="0" borderId="0" xfId="0" applyNumberFormat="1" applyFill="1"/>
    <xf numFmtId="0" fontId="3" fillId="4" borderId="0" xfId="0" applyFont="1" applyFill="1"/>
    <xf numFmtId="164" fontId="3" fillId="0" borderId="0" xfId="0" applyNumberFormat="1" applyFont="1" applyBorder="1" applyAlignment="1">
      <alignment horizontal="center"/>
    </xf>
    <xf numFmtId="0" fontId="2" fillId="5" borderId="14" xfId="0" applyFont="1" applyFill="1" applyBorder="1"/>
    <xf numFmtId="0" fontId="0" fillId="0" borderId="15" xfId="0" applyBorder="1"/>
    <xf numFmtId="0" fontId="15" fillId="2" borderId="0" xfId="0" applyFont="1" applyFill="1"/>
    <xf numFmtId="44" fontId="4" fillId="2" borderId="0" xfId="1" applyFont="1" applyFill="1" applyAlignment="1" applyProtection="1">
      <alignment horizontal="center"/>
      <protection locked="0"/>
    </xf>
    <xf numFmtId="44" fontId="4" fillId="3" borderId="0" xfId="1" applyFont="1" applyFill="1" applyAlignment="1" applyProtection="1">
      <alignment horizontal="center"/>
      <protection locked="0"/>
    </xf>
    <xf numFmtId="0" fontId="0" fillId="3" borderId="0" xfId="0" applyFill="1" applyProtection="1">
      <protection locked="0"/>
    </xf>
    <xf numFmtId="0" fontId="0" fillId="0" borderId="0" xfId="0" applyProtection="1">
      <protection locked="0"/>
    </xf>
    <xf numFmtId="44" fontId="4" fillId="0" borderId="0" xfId="1" applyFont="1" applyFill="1" applyAlignment="1" applyProtection="1">
      <alignment horizontal="center"/>
      <protection locked="0"/>
    </xf>
    <xf numFmtId="0" fontId="0" fillId="0" borderId="0" xfId="0" applyFill="1" applyProtection="1">
      <protection locked="0"/>
    </xf>
    <xf numFmtId="0" fontId="3" fillId="3" borderId="0" xfId="0" applyFont="1" applyFill="1" applyProtection="1">
      <protection locked="0"/>
    </xf>
    <xf numFmtId="0" fontId="21" fillId="3" borderId="0" xfId="0" applyFont="1" applyFill="1" applyProtection="1">
      <protection locked="0"/>
    </xf>
    <xf numFmtId="0" fontId="21" fillId="0" borderId="0" xfId="0" applyFont="1" applyProtection="1">
      <protection locked="0"/>
    </xf>
    <xf numFmtId="164" fontId="4" fillId="0" borderId="0"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64" fontId="4" fillId="0" borderId="4" xfId="0" applyNumberFormat="1" applyFont="1" applyBorder="1" applyAlignment="1" applyProtection="1">
      <alignment horizontal="center"/>
      <protection locked="0"/>
    </xf>
    <xf numFmtId="166" fontId="4" fillId="0" borderId="4" xfId="0" applyNumberFormat="1" applyFont="1" applyBorder="1" applyAlignment="1" applyProtection="1">
      <alignment horizontal="center"/>
      <protection locked="0"/>
    </xf>
    <xf numFmtId="2" fontId="4" fillId="0" borderId="4" xfId="0" applyNumberFormat="1" applyFont="1" applyBorder="1" applyAlignment="1" applyProtection="1">
      <alignment horizontal="center"/>
      <protection locked="0"/>
    </xf>
    <xf numFmtId="166" fontId="4" fillId="0" borderId="0" xfId="0" applyNumberFormat="1" applyFont="1" applyBorder="1" applyAlignment="1" applyProtection="1">
      <alignment horizontal="center"/>
      <protection locked="0"/>
    </xf>
    <xf numFmtId="165" fontId="4" fillId="0" borderId="0" xfId="0" applyNumberFormat="1" applyFont="1" applyAlignment="1" applyProtection="1">
      <alignment horizontal="center"/>
      <protection locked="0"/>
    </xf>
    <xf numFmtId="44" fontId="4" fillId="0" borderId="0" xfId="1" applyFont="1" applyAlignment="1" applyProtection="1">
      <alignment horizontal="center"/>
      <protection locked="0"/>
    </xf>
    <xf numFmtId="1" fontId="4" fillId="0" borderId="0" xfId="0" applyNumberFormat="1" applyFont="1" applyAlignment="1" applyProtection="1">
      <alignment horizontal="center"/>
      <protection locked="0"/>
    </xf>
    <xf numFmtId="164" fontId="4" fillId="0" borderId="0" xfId="0" applyNumberFormat="1" applyFont="1" applyAlignment="1" applyProtection="1">
      <alignment horizontal="center"/>
      <protection locked="0"/>
    </xf>
    <xf numFmtId="44" fontId="4" fillId="0" borderId="1" xfId="1" applyFont="1" applyBorder="1" applyAlignment="1" applyProtection="1">
      <alignment horizontal="center"/>
      <protection locked="0"/>
    </xf>
    <xf numFmtId="44" fontId="4" fillId="0" borderId="0" xfId="1" applyFont="1" applyBorder="1" applyAlignment="1" applyProtection="1">
      <alignment horizontal="center"/>
      <protection locked="0"/>
    </xf>
    <xf numFmtId="2" fontId="4" fillId="0" borderId="0" xfId="0" applyNumberFormat="1" applyFont="1" applyProtection="1">
      <protection locked="0"/>
    </xf>
    <xf numFmtId="164" fontId="4" fillId="0" borderId="0" xfId="0" applyNumberFormat="1" applyFont="1" applyProtection="1">
      <protection locked="0"/>
    </xf>
    <xf numFmtId="0" fontId="0" fillId="0" borderId="0" xfId="0" applyAlignment="1">
      <alignment horizontal="center"/>
    </xf>
    <xf numFmtId="0" fontId="0" fillId="0" borderId="0" xfId="0" applyAlignment="1">
      <alignment horizontal="center"/>
    </xf>
    <xf numFmtId="44" fontId="3" fillId="0" borderId="0" xfId="1" applyFont="1" applyAlignment="1" applyProtection="1">
      <alignment horizontal="center"/>
    </xf>
    <xf numFmtId="1" fontId="3" fillId="0" borderId="0" xfId="0" applyNumberFormat="1" applyFont="1" applyAlignment="1" applyProtection="1">
      <alignment horizontal="center"/>
    </xf>
    <xf numFmtId="44" fontId="4" fillId="0" borderId="0" xfId="0" applyNumberFormat="1" applyFont="1" applyFill="1" applyProtection="1">
      <protection locked="0"/>
    </xf>
    <xf numFmtId="44" fontId="4" fillId="0" borderId="1" xfId="0" applyNumberFormat="1" applyFont="1" applyFill="1" applyBorder="1" applyProtection="1">
      <protection locked="0"/>
    </xf>
    <xf numFmtId="44" fontId="3" fillId="0" borderId="0" xfId="0" applyNumberFormat="1" applyFont="1" applyProtection="1"/>
    <xf numFmtId="0" fontId="22" fillId="0" borderId="0" xfId="0" applyFont="1" applyFill="1" applyProtection="1">
      <protection locked="0"/>
    </xf>
    <xf numFmtId="44" fontId="10" fillId="0" borderId="0" xfId="1" applyFont="1" applyFill="1" applyAlignment="1" applyProtection="1">
      <alignment horizontal="center"/>
      <protection locked="0"/>
    </xf>
    <xf numFmtId="0" fontId="0" fillId="0" borderId="0"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0" fontId="0" fillId="0" borderId="0" xfId="0" applyFont="1" applyBorder="1" applyAlignment="1">
      <alignment horizontal="left" vertical="center" wrapText="1"/>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169" fontId="3" fillId="0" borderId="0" xfId="3" applyNumberFormat="1" applyFont="1" applyBorder="1" applyAlignment="1">
      <alignment horizontal="center"/>
    </xf>
    <xf numFmtId="168" fontId="0" fillId="0" borderId="0" xfId="0" applyNumberFormat="1" applyBorder="1" applyAlignment="1">
      <alignment horizontal="center"/>
    </xf>
    <xf numFmtId="168" fontId="0" fillId="0" borderId="1" xfId="0" applyNumberFormat="1" applyBorder="1" applyAlignment="1">
      <alignment horizontal="center"/>
    </xf>
    <xf numFmtId="4" fontId="3" fillId="0" borderId="0" xfId="3" applyNumberFormat="1" applyFont="1" applyAlignment="1">
      <alignment horizontal="right"/>
    </xf>
    <xf numFmtId="0" fontId="7" fillId="0" borderId="0" xfId="0" applyFont="1" applyFill="1" applyBorder="1"/>
    <xf numFmtId="44" fontId="0" fillId="0" borderId="0" xfId="1" applyFont="1" applyBorder="1" applyAlignment="1">
      <alignment horizontal="center"/>
    </xf>
    <xf numFmtId="44" fontId="0" fillId="0" borderId="0" xfId="1" applyFont="1" applyAlignment="1">
      <alignment horizontal="right"/>
    </xf>
    <xf numFmtId="44" fontId="4" fillId="0" borderId="0" xfId="1" applyFont="1" applyAlignment="1" applyProtection="1">
      <alignment horizontal="right"/>
      <protection locked="0"/>
    </xf>
    <xf numFmtId="44" fontId="4" fillId="0" borderId="1" xfId="1" applyFont="1" applyBorder="1" applyAlignment="1" applyProtection="1">
      <alignment horizontal="right"/>
      <protection locked="0"/>
    </xf>
    <xf numFmtId="44" fontId="4" fillId="0" borderId="0" xfId="1" applyFont="1" applyBorder="1" applyAlignment="1" applyProtection="1">
      <alignment horizontal="right"/>
      <protection locked="0"/>
    </xf>
    <xf numFmtId="44" fontId="4" fillId="0" borderId="0" xfId="1" applyFont="1" applyAlignment="1">
      <alignment horizontal="right"/>
    </xf>
    <xf numFmtId="44" fontId="2" fillId="0" borderId="1" xfId="1" applyFont="1" applyBorder="1" applyAlignment="1">
      <alignment horizontal="right"/>
    </xf>
    <xf numFmtId="0" fontId="0" fillId="0" borderId="1" xfId="0" applyBorder="1" applyAlignment="1">
      <alignment horizontal="right"/>
    </xf>
    <xf numFmtId="44" fontId="2" fillId="0" borderId="0" xfId="1" applyFont="1" applyAlignment="1">
      <alignment horizontal="right"/>
    </xf>
    <xf numFmtId="44" fontId="2" fillId="0" borderId="0" xfId="0" applyNumberFormat="1" applyFont="1" applyAlignment="1">
      <alignment horizontal="right"/>
    </xf>
    <xf numFmtId="44" fontId="2" fillId="0" borderId="0" xfId="1" applyFont="1" applyBorder="1" applyAlignment="1">
      <alignment horizontal="right"/>
    </xf>
    <xf numFmtId="44" fontId="2" fillId="0" borderId="2" xfId="1" applyFont="1" applyBorder="1" applyAlignment="1">
      <alignment horizontal="right"/>
    </xf>
    <xf numFmtId="0" fontId="0" fillId="0" borderId="0" xfId="0" applyBorder="1" applyAlignment="1">
      <alignment horizontal="center"/>
    </xf>
    <xf numFmtId="0" fontId="0" fillId="0" borderId="0" xfId="0" applyFont="1" applyFill="1" applyBorder="1" applyAlignment="1">
      <alignment horizontal="left" vertical="center" wrapText="1"/>
    </xf>
    <xf numFmtId="2" fontId="3" fillId="0" borderId="0" xfId="0" applyNumberFormat="1" applyFont="1" applyAlignment="1" applyProtection="1">
      <alignment horizontal="center"/>
      <protection locked="0"/>
    </xf>
    <xf numFmtId="0" fontId="0" fillId="0" borderId="0" xfId="0" applyAlignment="1">
      <alignment horizontal="center"/>
    </xf>
    <xf numFmtId="170" fontId="4" fillId="2" borderId="0" xfId="1" applyNumberFormat="1" applyFont="1" applyFill="1" applyAlignment="1" applyProtection="1">
      <alignment horizontal="center"/>
      <protection locked="0"/>
    </xf>
    <xf numFmtId="170" fontId="4" fillId="3" borderId="0" xfId="1" applyNumberFormat="1" applyFont="1" applyFill="1" applyAlignment="1" applyProtection="1">
      <alignment horizontal="center"/>
      <protection locked="0"/>
    </xf>
    <xf numFmtId="0" fontId="40" fillId="0" borderId="0" xfId="4" applyFont="1" applyFill="1" applyAlignment="1" applyProtection="1"/>
    <xf numFmtId="0" fontId="45" fillId="0" borderId="0" xfId="5" applyProtection="1"/>
    <xf numFmtId="0" fontId="23" fillId="7" borderId="14" xfId="5" applyFont="1" applyFill="1" applyBorder="1" applyProtection="1"/>
    <xf numFmtId="0" fontId="23" fillId="7" borderId="15" xfId="5" applyFont="1" applyFill="1" applyBorder="1" applyProtection="1"/>
    <xf numFmtId="0" fontId="23" fillId="7" borderId="13" xfId="5" applyFont="1" applyFill="1" applyBorder="1" applyProtection="1"/>
    <xf numFmtId="0" fontId="24" fillId="7" borderId="9" xfId="5" applyFont="1" applyFill="1" applyBorder="1" applyAlignment="1" applyProtection="1"/>
    <xf numFmtId="0" fontId="25" fillId="7" borderId="0" xfId="5" applyFont="1" applyFill="1" applyAlignment="1" applyProtection="1"/>
    <xf numFmtId="0" fontId="26" fillId="7" borderId="0" xfId="5" applyFont="1" applyFill="1" applyBorder="1" applyProtection="1"/>
    <xf numFmtId="0" fontId="23" fillId="7" borderId="0" xfId="5" applyFont="1" applyFill="1" applyBorder="1" applyProtection="1"/>
    <xf numFmtId="0" fontId="23" fillId="7" borderId="10" xfId="5" applyFont="1" applyFill="1" applyBorder="1" applyProtection="1"/>
    <xf numFmtId="0" fontId="26" fillId="7" borderId="9" xfId="5" applyFont="1" applyFill="1" applyBorder="1" applyProtection="1"/>
    <xf numFmtId="0" fontId="27" fillId="7" borderId="0" xfId="5" applyFont="1" applyFill="1" applyBorder="1" applyAlignment="1" applyProtection="1">
      <alignment horizontal="left"/>
    </xf>
    <xf numFmtId="0" fontId="28" fillId="7" borderId="0" xfId="5" applyFont="1" applyFill="1" applyAlignment="1" applyProtection="1">
      <alignment horizontal="left"/>
    </xf>
    <xf numFmtId="0" fontId="29" fillId="7" borderId="0" xfId="5" applyFont="1" applyFill="1" applyAlignment="1" applyProtection="1"/>
    <xf numFmtId="0" fontId="23" fillId="7" borderId="9" xfId="5" applyFont="1" applyFill="1" applyBorder="1" applyAlignment="1" applyProtection="1">
      <alignment horizontal="center"/>
    </xf>
    <xf numFmtId="0" fontId="33" fillId="7" borderId="0" xfId="5" applyFont="1" applyFill="1" applyAlignment="1" applyProtection="1">
      <alignment wrapText="1"/>
    </xf>
    <xf numFmtId="0" fontId="34" fillId="7" borderId="0" xfId="5" applyFont="1" applyFill="1" applyBorder="1" applyProtection="1"/>
    <xf numFmtId="0" fontId="35" fillId="7" borderId="10" xfId="5" applyFont="1" applyFill="1" applyBorder="1" applyProtection="1"/>
    <xf numFmtId="0" fontId="23" fillId="7" borderId="11" xfId="5" applyFont="1" applyFill="1" applyBorder="1" applyProtection="1"/>
    <xf numFmtId="0" fontId="23" fillId="7" borderId="4" xfId="5" applyFont="1" applyFill="1" applyBorder="1" applyProtection="1"/>
    <xf numFmtId="0" fontId="34" fillId="7" borderId="4" xfId="5" applyFont="1" applyFill="1" applyBorder="1" applyProtection="1"/>
    <xf numFmtId="0" fontId="36" fillId="7" borderId="12" xfId="5" applyFont="1" applyFill="1" applyBorder="1" applyAlignment="1" applyProtection="1">
      <alignment horizontal="right"/>
    </xf>
    <xf numFmtId="0" fontId="38" fillId="0" borderId="0" xfId="5" applyFont="1" applyProtection="1"/>
    <xf numFmtId="0" fontId="38" fillId="0" borderId="0" xfId="5" applyFont="1" applyFill="1" applyBorder="1" applyProtection="1"/>
    <xf numFmtId="0" fontId="39" fillId="0" borderId="0" xfId="5" applyFont="1" applyAlignment="1" applyProtection="1"/>
    <xf numFmtId="0" fontId="40" fillId="0" borderId="0" xfId="5" applyFont="1" applyAlignment="1" applyProtection="1"/>
    <xf numFmtId="0" fontId="40" fillId="0" borderId="0" xfId="5" applyFont="1" applyProtection="1"/>
    <xf numFmtId="0" fontId="41" fillId="0" borderId="0" xfId="5" applyFont="1" applyProtection="1"/>
    <xf numFmtId="0" fontId="41" fillId="0" borderId="0" xfId="5" applyFont="1" applyFill="1" applyProtection="1"/>
    <xf numFmtId="0" fontId="41" fillId="0" borderId="0" xfId="5" applyFont="1" applyAlignment="1" applyProtection="1">
      <alignment vertical="center" wrapText="1"/>
    </xf>
    <xf numFmtId="0" fontId="40" fillId="0" borderId="0" xfId="5" applyFont="1" applyAlignment="1" applyProtection="1">
      <alignment wrapText="1"/>
    </xf>
    <xf numFmtId="0" fontId="39" fillId="0" borderId="0" xfId="5" applyFont="1" applyProtection="1"/>
    <xf numFmtId="0" fontId="40" fillId="0" borderId="0" xfId="5" applyFont="1" applyAlignment="1" applyProtection="1">
      <alignment horizontal="center"/>
    </xf>
    <xf numFmtId="0" fontId="40" fillId="0" borderId="0" xfId="5" applyFont="1" applyFill="1" applyAlignment="1" applyProtection="1"/>
    <xf numFmtId="0" fontId="41" fillId="0" borderId="0" xfId="5" applyFont="1" applyAlignment="1" applyProtection="1">
      <alignment horizontal="left" wrapText="1"/>
    </xf>
    <xf numFmtId="0" fontId="4" fillId="0" borderId="0" xfId="0" applyFont="1" applyAlignment="1" applyProtection="1">
      <alignment horizontal="center"/>
      <protection locked="0"/>
    </xf>
    <xf numFmtId="44" fontId="0" fillId="0" borderId="0" xfId="1" applyFont="1" applyBorder="1" applyAlignment="1" applyProtection="1">
      <alignment horizontal="center"/>
      <protection locked="0"/>
    </xf>
    <xf numFmtId="44" fontId="1" fillId="0" borderId="0" xfId="1" applyFont="1" applyAlignment="1" applyProtection="1">
      <alignment horizontal="center"/>
      <protection locked="0"/>
    </xf>
    <xf numFmtId="44" fontId="1" fillId="0" borderId="0" xfId="1" applyFont="1" applyFill="1" applyAlignment="1" applyProtection="1">
      <alignment horizontal="center"/>
      <protection locked="0"/>
    </xf>
    <xf numFmtId="164" fontId="0" fillId="0" borderId="0" xfId="0" applyNumberFormat="1" applyBorder="1" applyAlignment="1" applyProtection="1">
      <alignment horizontal="center"/>
      <protection locked="0"/>
    </xf>
    <xf numFmtId="44" fontId="0" fillId="0" borderId="0" xfId="1" applyFont="1" applyBorder="1" applyAlignment="1" applyProtection="1">
      <alignment horizontal="right"/>
      <protection locked="0"/>
    </xf>
    <xf numFmtId="44" fontId="0" fillId="0" borderId="0" xfId="1" applyNumberFormat="1" applyFont="1" applyBorder="1" applyAlignment="1" applyProtection="1">
      <alignment horizontal="right"/>
      <protection locked="0"/>
    </xf>
    <xf numFmtId="44" fontId="0" fillId="0" borderId="0" xfId="1" applyFont="1" applyAlignment="1" applyProtection="1">
      <alignment horizontal="right"/>
      <protection locked="0"/>
    </xf>
    <xf numFmtId="0" fontId="40" fillId="0" borderId="0" xfId="5" applyFont="1" applyAlignment="1" applyProtection="1">
      <alignment horizontal="left" vertical="top" wrapText="1"/>
    </xf>
    <xf numFmtId="0" fontId="26" fillId="7" borderId="9" xfId="5" applyFont="1" applyFill="1" applyBorder="1" applyAlignment="1" applyProtection="1">
      <alignment horizontal="left" wrapText="1"/>
    </xf>
    <xf numFmtId="0" fontId="30" fillId="7" borderId="0" xfId="5" applyFont="1" applyFill="1" applyAlignment="1" applyProtection="1">
      <alignment wrapText="1"/>
    </xf>
    <xf numFmtId="0" fontId="30" fillId="7" borderId="9" xfId="5" applyFont="1" applyFill="1" applyBorder="1" applyAlignment="1" applyProtection="1">
      <alignment wrapText="1"/>
    </xf>
    <xf numFmtId="0" fontId="31" fillId="0" borderId="0" xfId="5" applyFont="1" applyAlignment="1" applyProtection="1">
      <alignment wrapText="1"/>
    </xf>
    <xf numFmtId="0" fontId="32" fillId="0" borderId="0" xfId="5" applyFont="1" applyAlignment="1" applyProtection="1">
      <alignment wrapText="1"/>
    </xf>
    <xf numFmtId="0" fontId="36" fillId="7" borderId="4" xfId="5" applyFont="1" applyFill="1" applyBorder="1" applyAlignment="1" applyProtection="1">
      <alignment horizontal="right"/>
    </xf>
    <xf numFmtId="0" fontId="33" fillId="7" borderId="4" xfId="5" applyFont="1" applyFill="1" applyBorder="1" applyAlignment="1" applyProtection="1">
      <alignment horizontal="right"/>
    </xf>
    <xf numFmtId="14" fontId="36" fillId="7" borderId="4" xfId="5" applyNumberFormat="1" applyFont="1" applyFill="1" applyBorder="1" applyAlignment="1" applyProtection="1">
      <alignment horizontal="left"/>
    </xf>
    <xf numFmtId="0" fontId="33" fillId="7" borderId="4" xfId="5" applyFont="1" applyFill="1" applyBorder="1" applyAlignment="1" applyProtection="1">
      <alignment horizontal="left"/>
    </xf>
    <xf numFmtId="0" fontId="37" fillId="0" borderId="0" xfId="5" applyFont="1" applyProtection="1"/>
    <xf numFmtId="0" fontId="39" fillId="0" borderId="0" xfId="5" applyFont="1" applyAlignment="1" applyProtection="1"/>
    <xf numFmtId="0" fontId="40" fillId="0" borderId="0" xfId="5" applyFont="1" applyAlignment="1" applyProtection="1"/>
    <xf numFmtId="0" fontId="40" fillId="0" borderId="0" xfId="5" applyFont="1" applyAlignment="1" applyProtection="1">
      <alignment horizontal="left" wrapText="1"/>
    </xf>
    <xf numFmtId="0" fontId="40" fillId="0" borderId="0" xfId="5" applyFont="1" applyAlignment="1" applyProtection="1">
      <alignment horizontal="left" vertical="center" wrapText="1"/>
    </xf>
    <xf numFmtId="0" fontId="44" fillId="0" borderId="0" xfId="6" applyFont="1" applyAlignment="1" applyProtection="1"/>
    <xf numFmtId="0" fontId="18" fillId="0" borderId="0" xfId="0" applyFont="1" applyAlignment="1">
      <alignment horizontal="center"/>
    </xf>
    <xf numFmtId="0" fontId="16" fillId="2" borderId="1" xfId="0" applyFont="1" applyFill="1" applyBorder="1" applyAlignment="1">
      <alignment horizontal="center"/>
    </xf>
    <xf numFmtId="44" fontId="0" fillId="0" borderId="0" xfId="0" applyNumberFormat="1" applyBorder="1" applyAlignment="1">
      <alignment horizontal="center"/>
    </xf>
    <xf numFmtId="0" fontId="13" fillId="2" borderId="4" xfId="0" applyFont="1" applyFill="1" applyBorder="1" applyAlignment="1">
      <alignment horizontal="left" vertical="center" wrapText="1"/>
    </xf>
    <xf numFmtId="0" fontId="0" fillId="0" borderId="4" xfId="0" applyBorder="1" applyAlignment="1">
      <alignment horizontal="left" vertical="center" wrapText="1"/>
    </xf>
    <xf numFmtId="0" fontId="13" fillId="2" borderId="4" xfId="0" applyFont="1" applyFill="1" applyBorder="1" applyAlignment="1">
      <alignment horizontal="right"/>
    </xf>
    <xf numFmtId="0" fontId="13" fillId="2" borderId="4" xfId="0" applyFont="1" applyFill="1" applyBorder="1" applyAlignment="1">
      <alignment horizontal="center"/>
    </xf>
    <xf numFmtId="0" fontId="2" fillId="0" borderId="5" xfId="0" applyFont="1" applyBorder="1" applyAlignment="1">
      <alignment horizontal="center" vertical="center" wrapText="1"/>
    </xf>
    <xf numFmtId="0" fontId="16" fillId="2" borderId="3" xfId="0" applyFont="1" applyFill="1" applyBorder="1" applyAlignment="1">
      <alignment horizontal="left" vertical="center" wrapText="1"/>
    </xf>
    <xf numFmtId="44" fontId="0" fillId="0" borderId="3" xfId="0" applyNumberFormat="1" applyBorder="1" applyAlignment="1">
      <alignment horizontal="center"/>
    </xf>
    <xf numFmtId="0" fontId="13" fillId="2" borderId="1" xfId="0" applyFont="1" applyFill="1" applyBorder="1" applyAlignment="1">
      <alignment horizontal="left" vertical="center" wrapText="1"/>
    </xf>
    <xf numFmtId="0" fontId="0" fillId="0" borderId="1" xfId="0" applyBorder="1" applyAlignment="1">
      <alignment horizontal="left" vertical="center" wrapText="1"/>
    </xf>
    <xf numFmtId="0" fontId="13" fillId="2" borderId="1" xfId="0" applyFont="1" applyFill="1" applyBorder="1" applyAlignment="1" applyProtection="1">
      <alignment horizontal="right" vertical="center" wrapText="1"/>
      <protection locked="0"/>
    </xf>
    <xf numFmtId="167" fontId="13" fillId="2" borderId="1" xfId="0" applyNumberFormat="1" applyFont="1" applyFill="1" applyBorder="1" applyAlignment="1">
      <alignment horizontal="center" vertical="center" wrapText="1"/>
    </xf>
    <xf numFmtId="0" fontId="0" fillId="0" borderId="0" xfId="0" applyAlignment="1">
      <alignment horizontal="center"/>
    </xf>
    <xf numFmtId="0" fontId="13" fillId="2" borderId="1" xfId="0" applyFont="1" applyFill="1" applyBorder="1" applyAlignment="1">
      <alignment horizontal="center" vertical="center" wrapText="1"/>
    </xf>
    <xf numFmtId="0" fontId="0" fillId="0" borderId="3" xfId="0" applyBorder="1" applyAlignment="1">
      <alignment horizontal="left"/>
    </xf>
    <xf numFmtId="0" fontId="2" fillId="0" borderId="5" xfId="0" applyFont="1" applyBorder="1" applyAlignment="1">
      <alignment horizontal="center" vertical="center"/>
    </xf>
    <xf numFmtId="0" fontId="0" fillId="0" borderId="0" xfId="0" applyBorder="1" applyAlignment="1">
      <alignment horizontal="center"/>
    </xf>
    <xf numFmtId="0" fontId="0" fillId="0" borderId="0" xfId="0" applyAlignment="1">
      <alignment horizontal="right"/>
    </xf>
  </cellXfs>
  <cellStyles count="7">
    <cellStyle name="Comma" xfId="3" builtinId="3"/>
    <cellStyle name="Currency" xfId="1" builtinId="4"/>
    <cellStyle name="Hyperlink" xfId="2" builtinId="8"/>
    <cellStyle name="Hyperlink 2" xfId="6"/>
    <cellStyle name="Hyperlink_K-State Vegetative Buffer" xfId="4"/>
    <cellStyle name="Normal" xfId="0" builtinId="0"/>
    <cellStyle name="Normal 2" xfId="5"/>
  </cellStyles>
  <dxfs count="0"/>
  <tableStyles count="0" defaultTableStyle="TableStyleMedium2" defaultPivotStyle="PivotStyleLight16"/>
  <colors>
    <mruColors>
      <color rgb="FF996633"/>
      <color rgb="FFFF66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50</xdr:row>
      <xdr:rowOff>115534</xdr:rowOff>
    </xdr:from>
    <xdr:to>
      <xdr:col>5</xdr:col>
      <xdr:colOff>352012</xdr:colOff>
      <xdr:row>54</xdr:row>
      <xdr:rowOff>51765</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8916634"/>
          <a:ext cx="2843005" cy="622032"/>
        </a:xfrm>
        <a:prstGeom prst="rect">
          <a:avLst/>
        </a:prstGeom>
      </xdr:spPr>
    </xdr:pic>
    <xdr:clientData/>
  </xdr:twoCellAnchor>
  <xdr:twoCellAnchor editAs="oneCell">
    <xdr:from>
      <xdr:col>1</xdr:col>
      <xdr:colOff>0</xdr:colOff>
      <xdr:row>8</xdr:row>
      <xdr:rowOff>10353</xdr:rowOff>
    </xdr:from>
    <xdr:to>
      <xdr:col>12</xdr:col>
      <xdr:colOff>2468</xdr:colOff>
      <xdr:row>25</xdr:row>
      <xdr:rowOff>134592</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7563" b="23901"/>
        <a:stretch/>
      </xdr:blipFill>
      <xdr:spPr>
        <a:xfrm>
          <a:off x="238125" y="1439103"/>
          <a:ext cx="7641518" cy="2838864"/>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9526</xdr:colOff>
      <xdr:row>49</xdr:row>
      <xdr:rowOff>19048</xdr:rowOff>
    </xdr:from>
    <xdr:to>
      <xdr:col>2</xdr:col>
      <xdr:colOff>331471</xdr:colOff>
      <xdr:row>91</xdr:row>
      <xdr:rowOff>178594</xdr:rowOff>
    </xdr:to>
    <xdr:sp macro="" textlink="">
      <xdr:nvSpPr>
        <xdr:cNvPr id="2" name="TextBox 1"/>
        <xdr:cNvSpPr txBox="1"/>
      </xdr:nvSpPr>
      <xdr:spPr>
        <a:xfrm>
          <a:off x="9526" y="9627392"/>
          <a:ext cx="3250883" cy="81367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Climate, genetics, local cash prices, and a variety of other factors makes budgeting to the entire state of Kansas difficult.  While defaults in the spreadsheet are estimates for the state, users should enter their own prices and costs using the cells in </a:t>
          </a:r>
          <a:r>
            <a:rPr lang="en-US" sz="1100" b="1" baseline="0">
              <a:solidFill>
                <a:srgbClr val="0070C0"/>
              </a:solidFill>
            </a:rPr>
            <a:t>blue</a:t>
          </a:r>
          <a:r>
            <a:rPr lang="en-US" sz="1100" baseline="0"/>
            <a:t>.</a:t>
          </a:r>
        </a:p>
        <a:p>
          <a:pPr>
            <a:tabLst>
              <a:tab pos="365760" algn="l"/>
            </a:tabLst>
          </a:pPr>
          <a:r>
            <a:rPr lang="en-US" sz="1100" baseline="0"/>
            <a:t>	Two different sets of price forecasts are available in the spreadsheet.  By clicking the dropdown menu at the top of the budget, a user can select "Current Prices" or "One Year Out Prices".  All price assumptions can be viewed in the </a:t>
          </a:r>
          <a:r>
            <a:rPr lang="en-US" sz="1100" i="1" baseline="0"/>
            <a:t>Prices </a:t>
          </a:r>
          <a:r>
            <a:rPr lang="en-US" sz="1100" baseline="0"/>
            <a:t>tab.  This budget assumes slaughter lambs will be sold in September of the budget year.</a:t>
          </a:r>
        </a:p>
        <a:p>
          <a:pPr>
            <a:tabLst>
              <a:tab pos="365760" algn="l"/>
            </a:tabLst>
          </a:pPr>
          <a:r>
            <a:rPr lang="en-US" sz="1100" baseline="0"/>
            <a:t>	Feed assumptions can be viewed in the </a:t>
          </a:r>
          <a:r>
            <a:rPr lang="en-US" sz="1100" i="1" baseline="0"/>
            <a:t>Feed</a:t>
          </a:r>
          <a:r>
            <a:rPr lang="en-US" sz="1100" baseline="0"/>
            <a:t> tab.  The default Once-a-Year Lambing budget assumes a spring lambing that develops their own replacements; therefore costs include 15% of the cost of raising a replacement ewe (default is a 15% replacement percentage) </a:t>
          </a:r>
          <a:r>
            <a:rPr lang="en-US" sz="1100" baseline="0">
              <a:solidFill>
                <a:sysClr val="windowText" lastClr="000000"/>
              </a:solidFill>
            </a:rPr>
            <a:t>and 2.5% of the cost of maintaining a Ram (assuming 1 Ram per 40 ewes).  </a:t>
          </a:r>
          <a:r>
            <a:rPr lang="en-US" sz="1100" baseline="0"/>
            <a:t>If purchasing replacements or A.I. breeding, costs should be adjusted accordingly.  </a:t>
          </a:r>
        </a:p>
        <a:p>
          <a:pPr>
            <a:tabLst>
              <a:tab pos="365760" algn="l"/>
            </a:tabLst>
          </a:pPr>
          <a:endParaRPr lang="en-US" sz="1100" u="sng" baseline="0"/>
        </a:p>
        <a:p>
          <a:pPr>
            <a:tabLst>
              <a:tab pos="365760" algn="l"/>
            </a:tabLst>
          </a:pPr>
          <a:r>
            <a:rPr lang="en-US" sz="1100" u="sng" baseline="0"/>
            <a:t>Production Efficiency Measures</a:t>
          </a:r>
        </a:p>
        <a:p>
          <a:pPr>
            <a:tabLst>
              <a:tab pos="365760" algn="l"/>
            </a:tabLst>
          </a:pPr>
          <a:r>
            <a:rPr lang="en-US" sz="1100" b="1" baseline="0"/>
            <a:t>Weaning Percentage: </a:t>
          </a:r>
          <a:r>
            <a:rPr lang="en-US" sz="1100" b="0" baseline="0"/>
            <a:t>Lambs weaned per ewe exposed.  </a:t>
          </a:r>
          <a:r>
            <a:rPr lang="en-US" sz="1100" b="1" baseline="0">
              <a:solidFill>
                <a:schemeClr val="dk1"/>
              </a:solidFill>
              <a:effectLst/>
              <a:latin typeface="+mn-lt"/>
              <a:ea typeface="+mn-ea"/>
              <a:cs typeface="+mn-cs"/>
            </a:rPr>
            <a:t>Ewe Replacement Percentage: </a:t>
          </a:r>
          <a:r>
            <a:rPr lang="en-US" sz="1100" b="0" baseline="0">
              <a:solidFill>
                <a:schemeClr val="dk1"/>
              </a:solidFill>
              <a:effectLst/>
              <a:latin typeface="+mn-lt"/>
              <a:ea typeface="+mn-ea"/>
              <a:cs typeface="+mn-cs"/>
            </a:rPr>
            <a:t>Percent of lambs retained for replacements as well as cull ewes sold.</a:t>
          </a:r>
        </a:p>
        <a:p>
          <a:pPr eaLnBrk="1" fontAlgn="auto" latinLnBrk="0" hangingPunct="1"/>
          <a:endParaRPr lang="en-US" sz="11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Revenue</a:t>
          </a:r>
          <a:endParaRPr lang="en-US">
            <a:effectLst/>
          </a:endParaRPr>
        </a:p>
        <a:p>
          <a:pPr eaLnBrk="1" fontAlgn="auto" latinLnBrk="0" hangingPunct="1"/>
          <a:r>
            <a:rPr lang="en-US" sz="1100" b="1" baseline="0">
              <a:solidFill>
                <a:schemeClr val="dk1"/>
              </a:solidFill>
              <a:effectLst/>
              <a:latin typeface="+mn-lt"/>
              <a:ea typeface="+mn-ea"/>
              <a:cs typeface="+mn-cs"/>
            </a:rPr>
            <a:t>Slaughter Lamb Sale: </a:t>
          </a:r>
          <a:r>
            <a:rPr lang="en-US" sz="1100" b="0" baseline="0">
              <a:solidFill>
                <a:schemeClr val="dk1"/>
              </a:solidFill>
              <a:effectLst/>
              <a:latin typeface="+mn-lt"/>
              <a:ea typeface="+mn-ea"/>
              <a:cs typeface="+mn-cs"/>
            </a:rPr>
            <a:t>Based on the Lamb Crop Percentage less the Ewe Replacement Percentage.  If purchasing replacements rather than raising them, the ewe replacement percentage will not be subtracted off when a value is entered in cell B21. Lamb weights can be adjusted.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Cull Ewes: </a:t>
          </a:r>
          <a:r>
            <a:rPr lang="en-US" sz="1100" b="0" baseline="0">
              <a:solidFill>
                <a:schemeClr val="dk1"/>
              </a:solidFill>
              <a:effectLst/>
              <a:latin typeface="+mn-lt"/>
              <a:ea typeface="+mn-ea"/>
              <a:cs typeface="+mn-cs"/>
            </a:rPr>
            <a:t>Ewe Replacement Percentages will determine the amount of cull sales to attribute to revenue per ewe.  Cull weights can be adjusted.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A 2016 state average estimate of a 10-year linear trend using NASS surveys for pasture rental rates.</a:t>
          </a:r>
          <a:endParaRPr lang="en-US">
            <a:effectLst/>
          </a:endParaRPr>
        </a:p>
        <a:p>
          <a:pPr eaLnBrk="1" fontAlgn="auto" latinLnBrk="0" hangingPunct="1"/>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hay, silage, and alfalfa gets combined and the price weighted based on the proportions of each.</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342901</xdr:colOff>
      <xdr:row>49</xdr:row>
      <xdr:rowOff>19048</xdr:rowOff>
    </xdr:from>
    <xdr:to>
      <xdr:col>10</xdr:col>
      <xdr:colOff>17146</xdr:colOff>
      <xdr:row>92</xdr:row>
      <xdr:rowOff>0</xdr:rowOff>
    </xdr:to>
    <xdr:sp macro="" textlink="">
      <xdr:nvSpPr>
        <xdr:cNvPr id="3" name="TextBox 2"/>
        <xdr:cNvSpPr txBox="1"/>
      </xdr:nvSpPr>
      <xdr:spPr>
        <a:xfrm>
          <a:off x="3271839" y="9627392"/>
          <a:ext cx="3234213" cy="8172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u="sng" baseline="0">
              <a:solidFill>
                <a:schemeClr val="dk1"/>
              </a:solidFill>
              <a:effectLst/>
              <a:latin typeface="+mn-lt"/>
              <a:ea typeface="+mn-ea"/>
              <a:cs typeface="+mn-cs"/>
            </a:rPr>
            <a:t>Variable Costs (continued)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grain sorghum and soybean meal gets combined and the price weighted based on the proportions of each.</a:t>
          </a:r>
          <a:endParaRPr lang="en-US">
            <a:effectLst/>
          </a:endParaRPr>
        </a:p>
        <a:p>
          <a:pPr eaLnBrk="1" fontAlgn="auto" latinLnBrk="0" hangingPunct="1"/>
          <a:r>
            <a:rPr lang="en-US" sz="1100" b="1" baseline="0">
              <a:solidFill>
                <a:schemeClr val="dk1"/>
              </a:solidFill>
              <a:effectLst/>
              <a:latin typeface="+mn-lt"/>
              <a:ea typeface="+mn-ea"/>
              <a:cs typeface="+mn-cs"/>
            </a:rPr>
            <a:t>Salt &amp; Mineral: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total pounds/year is entered.</a:t>
          </a:r>
        </a:p>
        <a:p>
          <a:pPr eaLnBrk="1" fontAlgn="auto" latinLnBrk="0" hangingPunct="1"/>
          <a:r>
            <a:rPr lang="en-US" sz="1100" b="1" baseline="0">
              <a:solidFill>
                <a:schemeClr val="dk1"/>
              </a:solidFill>
              <a:effectLst/>
              <a:latin typeface="+mn-lt"/>
              <a:ea typeface="+mn-ea"/>
              <a:cs typeface="+mn-cs"/>
            </a:rPr>
            <a:t>Other Feed</a:t>
          </a:r>
          <a:r>
            <a:rPr lang="en-US" sz="1100" b="0" baseline="0">
              <a:solidFill>
                <a:schemeClr val="dk1"/>
              </a:solidFill>
              <a:effectLst/>
              <a:latin typeface="+mn-lt"/>
              <a:ea typeface="+mn-ea"/>
              <a:cs typeface="+mn-cs"/>
            </a:rPr>
            <a:t>: The amount for other feed that is not represented in the </a:t>
          </a:r>
          <a:r>
            <a:rPr lang="en-US" sz="1100" b="0" i="1" baseline="0">
              <a:solidFill>
                <a:schemeClr val="dk1"/>
              </a:solidFill>
              <a:effectLst/>
              <a:latin typeface="+mn-lt"/>
              <a:ea typeface="+mn-ea"/>
              <a:cs typeface="+mn-cs"/>
            </a:rPr>
            <a:t>Feed</a:t>
          </a:r>
          <a:r>
            <a:rPr lang="en-US" sz="1100" b="0" i="0" baseline="0">
              <a:solidFill>
                <a:schemeClr val="dk1"/>
              </a:solidFill>
              <a:effectLst/>
              <a:latin typeface="+mn-lt"/>
              <a:ea typeface="+mn-ea"/>
              <a:cs typeface="+mn-cs"/>
            </a:rPr>
            <a:t> tab.</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determines a dollar per hour estimate across livestock budgets. </a:t>
          </a:r>
        </a:p>
        <a:p>
          <a:pPr eaLnBrk="1" fontAlgn="auto" latinLnBrk="0" hangingPunct="1"/>
          <a:r>
            <a:rPr lang="en-US" sz="1100" b="1" baseline="0">
              <a:solidFill>
                <a:schemeClr val="dk1"/>
              </a:solidFill>
              <a:effectLst/>
              <a:latin typeface="+mn-lt"/>
              <a:ea typeface="+mn-ea"/>
              <a:cs typeface="+mn-cs"/>
            </a:rPr>
            <a:t>Replacement Ewes: </a:t>
          </a:r>
          <a:r>
            <a:rPr lang="en-US" sz="1100" b="0" baseline="0">
              <a:solidFill>
                <a:schemeClr val="dk1"/>
              </a:solidFill>
              <a:effectLst/>
              <a:latin typeface="+mn-lt"/>
              <a:ea typeface="+mn-ea"/>
              <a:cs typeface="+mn-cs"/>
            </a:rPr>
            <a:t>If purchasing replacements, change this to purchase cost and reduce expenses accordingly.</a:t>
          </a:r>
          <a:endParaRPr lang="en-US">
            <a:effectLst/>
          </a:endParaRPr>
        </a:p>
        <a:p>
          <a:pPr eaLnBrk="1" fontAlgn="auto" latinLnBrk="0" hangingPunct="1"/>
          <a:r>
            <a:rPr lang="en-US" sz="1100" b="1" baseline="0">
              <a:solidFill>
                <a:schemeClr val="dk1"/>
              </a:solidFill>
              <a:effectLst/>
              <a:latin typeface="+mn-lt"/>
              <a:ea typeface="+mn-ea"/>
              <a:cs typeface="+mn-cs"/>
            </a:rPr>
            <a:t>Ram Charge: </a:t>
          </a:r>
          <a:r>
            <a:rPr lang="en-US" sz="1100" b="0" baseline="0">
              <a:solidFill>
                <a:schemeClr val="dk1"/>
              </a:solidFill>
              <a:effectLst/>
              <a:latin typeface="+mn-lt"/>
              <a:ea typeface="+mn-ea"/>
              <a:cs typeface="+mn-cs"/>
            </a:rPr>
            <a:t>Default assumes straight-line depreciation on a </a:t>
          </a:r>
          <a:r>
            <a:rPr lang="en-US" sz="1100" b="0" baseline="0">
              <a:solidFill>
                <a:sysClr val="windowText" lastClr="000000"/>
              </a:solidFill>
              <a:effectLst/>
              <a:latin typeface="+mn-lt"/>
              <a:ea typeface="+mn-ea"/>
              <a:cs typeface="+mn-cs"/>
            </a:rPr>
            <a:t>$550 Ram with a $65 salvage value and 5 year useful life.  2.5% is applied per ewe</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The amount for veterinarian services, drugs, and supplies.</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Other Livestock Breeding/Marketing: </a:t>
          </a:r>
          <a:r>
            <a:rPr lang="en-US" sz="1100" b="0" baseline="0">
              <a:solidFill>
                <a:schemeClr val="dk1"/>
              </a:solidFill>
              <a:effectLst/>
              <a:latin typeface="+mn-lt"/>
              <a:ea typeface="+mn-ea"/>
              <a:cs typeface="+mn-cs"/>
            </a:rPr>
            <a:t>The amount that includes trucking, sale commissions, and other expenses.</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Shearing</a:t>
          </a:r>
          <a:r>
            <a:rPr lang="en-US" sz="1100" b="0" baseline="0">
              <a:solidFill>
                <a:schemeClr val="dk1"/>
              </a:solidFill>
              <a:effectLst/>
              <a:latin typeface="+mn-lt"/>
              <a:ea typeface="+mn-ea"/>
              <a:cs typeface="+mn-cs"/>
            </a:rPr>
            <a:t>: The amount for shearing each ewe.</a:t>
          </a:r>
          <a:endParaRPr lang="en-US" sz="1100" b="1" baseline="0">
            <a:solidFill>
              <a:srgbClr val="FF0000"/>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The amount for the lamb enterprises's share.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variable costs, includes fees/publications/travel, conservation, building rental, predator control, etc. to the lamb enterprise. </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Fixed Costs</a:t>
          </a:r>
          <a:endParaRPr lang="en-US">
            <a:effectLst/>
          </a:endParaRPr>
        </a:p>
        <a:p>
          <a:pPr eaLnBrk="1" fontAlgn="auto" latinLnBrk="0" hangingPunct="1"/>
          <a:r>
            <a:rPr lang="en-US" sz="1100" b="1" baseline="0">
              <a:solidFill>
                <a:schemeClr val="dk1"/>
              </a:solidFill>
              <a:effectLst/>
              <a:latin typeface="+mn-lt"/>
              <a:ea typeface="+mn-ea"/>
              <a:cs typeface="+mn-cs"/>
            </a:rPr>
            <a:t>Depreciation - Building/Equipment: </a:t>
          </a:r>
          <a:r>
            <a:rPr lang="en-US" sz="1100" b="0" baseline="0">
              <a:solidFill>
                <a:schemeClr val="dk1"/>
              </a:solidFill>
              <a:effectLst/>
              <a:latin typeface="+mn-lt"/>
              <a:ea typeface="+mn-ea"/>
              <a:cs typeface="+mn-cs"/>
            </a:rPr>
            <a:t>The amount of deprecation for the lamb enterprises's share towards buildings and equipment.</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Depreciation - Livestock: </a:t>
          </a:r>
          <a:r>
            <a:rPr lang="en-US" sz="1100" b="0" baseline="0">
              <a:solidFill>
                <a:schemeClr val="dk1"/>
              </a:solidFill>
              <a:effectLst/>
              <a:latin typeface="+mn-lt"/>
              <a:ea typeface="+mn-ea"/>
              <a:cs typeface="+mn-cs"/>
            </a:rPr>
            <a:t>The amount of deprecation for the lamb enterprises's share towards purchased breeding livestock.</a:t>
          </a:r>
          <a:endParaRPr lang="en-US">
            <a:effectLst/>
          </a:endParaRPr>
        </a:p>
        <a:p>
          <a:pPr eaLnBrk="1" fontAlgn="auto" latinLnBrk="0" hangingPunct="1"/>
          <a:r>
            <a:rPr lang="en-US" sz="1100" b="1" baseline="0">
              <a:solidFill>
                <a:schemeClr val="dk1"/>
              </a:solidFill>
              <a:effectLst/>
              <a:latin typeface="+mn-lt"/>
              <a:ea typeface="+mn-ea"/>
              <a:cs typeface="+mn-cs"/>
            </a:rPr>
            <a:t>Taxes/Insurance - Farm &amp; Livestock: </a:t>
          </a:r>
          <a:r>
            <a:rPr lang="en-US" sz="1100" b="0" baseline="0">
              <a:solidFill>
                <a:schemeClr val="dk1"/>
              </a:solidFill>
              <a:effectLst/>
              <a:latin typeface="+mn-lt"/>
              <a:ea typeface="+mn-ea"/>
              <a:cs typeface="+mn-cs"/>
            </a:rPr>
            <a:t>The amount of taxes and insurance for the lamb enterprises's share towards the farm and livestock.</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Interest - Buildings/Equipment &amp; Livestock</a:t>
          </a:r>
          <a:r>
            <a:rPr lang="en-US" sz="1100" b="0" baseline="0">
              <a:solidFill>
                <a:schemeClr val="dk1"/>
              </a:solidFill>
              <a:effectLst/>
              <a:latin typeface="+mn-lt"/>
              <a:ea typeface="+mn-ea"/>
              <a:cs typeface="+mn-cs"/>
            </a:rPr>
            <a:t>: The amount of interest for the lamb enterprises's share towards buildings, equipment and livestock.</a:t>
          </a:r>
          <a:endParaRPr lang="en-US">
            <a:effectLst/>
          </a:endParaRP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A measure to reflect the interest that could have been earned had the investment been made elsewhere. It does not represent cash interest paid. </a:t>
          </a:r>
          <a:endParaRPr lang="en-US" sz="800" b="1">
            <a:effectLst/>
          </a:endParaRPr>
        </a:p>
        <a:p>
          <a:pPr eaLnBrk="1" fontAlgn="auto" latinLnBrk="0" hangingPunct="1"/>
          <a:endParaRPr lang="en-US">
            <a:effectLst/>
          </a:endParaRPr>
        </a:p>
      </xdr:txBody>
    </xdr:sp>
    <xdr:clientData/>
  </xdr:twoCellAnchor>
  <xdr:twoCellAnchor>
    <xdr:from>
      <xdr:col>0</xdr:col>
      <xdr:colOff>76200</xdr:colOff>
      <xdr:row>127</xdr:row>
      <xdr:rowOff>171451</xdr:rowOff>
    </xdr:from>
    <xdr:to>
      <xdr:col>9</xdr:col>
      <xdr:colOff>778670</xdr:colOff>
      <xdr:row>129</xdr:row>
      <xdr:rowOff>0</xdr:rowOff>
    </xdr:to>
    <xdr:sp macro="" textlink="">
      <xdr:nvSpPr>
        <xdr:cNvPr id="11" name="TextBox 10"/>
        <xdr:cNvSpPr txBox="1"/>
      </xdr:nvSpPr>
      <xdr:spPr>
        <a:xfrm>
          <a:off x="76200" y="26403301"/>
          <a:ext cx="6312695" cy="819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Dustin Pendell</a:t>
          </a:r>
          <a:r>
            <a:rPr lang="en-US" sz="1000" baseline="0"/>
            <a:t>		Robin Reid		DeWayne Craighead</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Agricultural</a:t>
          </a:r>
          <a:r>
            <a:rPr lang="en-US" sz="1000" baseline="0"/>
            <a:t> Economist	</a:t>
          </a:r>
          <a:r>
            <a:rPr lang="en-US" sz="1000"/>
            <a:t>Extension Associate	</a:t>
          </a:r>
          <a:r>
            <a:rPr lang="en-US" sz="1000" baseline="0"/>
            <a:t>Hodgeman Cty Extension Agent</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K-State Research and Extension</a:t>
          </a:r>
          <a:endParaRPr lang="en-US" sz="1000">
            <a:effectLst/>
          </a:endParaRPr>
        </a:p>
        <a:p>
          <a:endParaRPr lang="en-US" sz="1000"/>
        </a:p>
      </xdr:txBody>
    </xdr:sp>
    <xdr:clientData/>
  </xdr:twoCellAnchor>
  <mc:AlternateContent xmlns:mc="http://schemas.openxmlformats.org/markup-compatibility/2006">
    <mc:Choice xmlns:a14="http://schemas.microsoft.com/office/drawing/2010/main" Requires="a14">
      <xdr:twoCellAnchor>
        <xdr:from>
          <xdr:col>11</xdr:col>
          <xdr:colOff>9525</xdr:colOff>
          <xdr:row>3</xdr:row>
          <xdr:rowOff>114300</xdr:rowOff>
        </xdr:from>
        <xdr:to>
          <xdr:col>14</xdr:col>
          <xdr:colOff>447675</xdr:colOff>
          <xdr:row>5</xdr:row>
          <xdr:rowOff>0</xdr:rowOff>
        </xdr:to>
        <xdr:sp macro="" textlink="">
          <xdr:nvSpPr>
            <xdr:cNvPr id="9222" name="Button 6" hidden="1">
              <a:extLst>
                <a:ext uri="{63B3BB69-23CF-44E3-9099-C40C66FF867C}">
                  <a14:compatExt spid="_x0000_s922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19050</xdr:rowOff>
        </xdr:from>
        <xdr:to>
          <xdr:col>14</xdr:col>
          <xdr:colOff>438150</xdr:colOff>
          <xdr:row>6</xdr:row>
          <xdr:rowOff>361950</xdr:rowOff>
        </xdr:to>
        <xdr:sp macro="" textlink="">
          <xdr:nvSpPr>
            <xdr:cNvPr id="9224" name="Button 8" hidden="1">
              <a:extLst>
                <a:ext uri="{63B3BB69-23CF-44E3-9099-C40C66FF867C}">
                  <a14:compatExt spid="_x0000_s922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47</xdr:row>
      <xdr:rowOff>19049</xdr:rowOff>
    </xdr:from>
    <xdr:to>
      <xdr:col>2</xdr:col>
      <xdr:colOff>503555</xdr:colOff>
      <xdr:row>89</xdr:row>
      <xdr:rowOff>432955</xdr:rowOff>
    </xdr:to>
    <xdr:sp macro="" textlink="">
      <xdr:nvSpPr>
        <xdr:cNvPr id="2" name="TextBox 1"/>
        <xdr:cNvSpPr txBox="1"/>
      </xdr:nvSpPr>
      <xdr:spPr>
        <a:xfrm>
          <a:off x="9525" y="9353549"/>
          <a:ext cx="3386166" cy="8414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Pasture should be entered as a total acre amount for the entire budgeting period.  The default assumes a season-long grazing scenario.  If crop residue or harvested forages are used seperate of pasture, adjust ending weight accordingly, since it calculates off of ADG on pasture.  Grain, supplements, and mineral are also entered as a total amount for the stocker period.  </a:t>
          </a:r>
        </a:p>
        <a:p>
          <a:pPr>
            <a:tabLst>
              <a:tab pos="365760" algn="l"/>
            </a:tabLst>
          </a:pPr>
          <a:endParaRPr lang="en-US" sz="9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on Pasture &amp; Average Daily Gain: </a:t>
          </a:r>
          <a:r>
            <a:rPr lang="en-US" sz="1100" b="0" baseline="0">
              <a:solidFill>
                <a:schemeClr val="dk1"/>
              </a:solidFill>
              <a:effectLst/>
              <a:latin typeface="+mn-lt"/>
              <a:ea typeface="+mn-ea"/>
              <a:cs typeface="+mn-cs"/>
            </a:rPr>
            <a:t>Will be used to calculate ending weight and hundredweight producted (CWT).  Non-feed variable costs will adjust in proportion to cwt produced.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9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Feeder Animal Sale: </a:t>
          </a:r>
          <a:r>
            <a:rPr lang="en-US" sz="1100" b="0" baseline="0">
              <a:solidFill>
                <a:schemeClr val="dk1"/>
              </a:solidFill>
              <a:effectLst/>
              <a:latin typeface="+mn-lt"/>
              <a:ea typeface="+mn-ea"/>
              <a:cs typeface="+mn-cs"/>
            </a:rPr>
            <a:t>Default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47</xdr:row>
      <xdr:rowOff>19047</xdr:rowOff>
    </xdr:from>
    <xdr:to>
      <xdr:col>9</xdr:col>
      <xdr:colOff>881381</xdr:colOff>
      <xdr:row>89</xdr:row>
      <xdr:rowOff>432954</xdr:rowOff>
    </xdr:to>
    <xdr:sp macro="" textlink="">
      <xdr:nvSpPr>
        <xdr:cNvPr id="3" name="TextBox 2"/>
        <xdr:cNvSpPr txBox="1"/>
      </xdr:nvSpPr>
      <xdr:spPr>
        <a:xfrm>
          <a:off x="3393787" y="9353547"/>
          <a:ext cx="3167958" cy="84149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p>
        <a:p>
          <a:pPr marL="0" marR="0" indent="0" defTabSz="914400" eaLnBrk="1" fontAlgn="auto" latinLnBrk="0" hangingPunct="1">
            <a:lnSpc>
              <a:spcPct val="100000"/>
            </a:lnSpc>
            <a:spcBef>
              <a:spcPts val="0"/>
            </a:spcBef>
            <a:spcAft>
              <a:spcPts val="0"/>
            </a:spcAft>
            <a:buClrTx/>
            <a:buSzTx/>
            <a:buFontTx/>
            <a:buNone/>
            <a:tabLst/>
            <a:defRPr/>
          </a:pPr>
          <a:endParaRPr lang="en-US" sz="105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$18.06 is a 2015 state average estimate of a 10-year linear trend using NASS surveys for pasture rental rates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Crop Residue:</a:t>
          </a:r>
          <a:r>
            <a:rPr lang="en-US" sz="1100" b="0" baseline="0">
              <a:solidFill>
                <a:schemeClr val="dk1"/>
              </a:solidFill>
              <a:effectLst/>
              <a:latin typeface="+mn-lt"/>
              <a:ea typeface="+mn-ea"/>
              <a:cs typeface="+mn-cs"/>
            </a:rPr>
            <a:t> Defaults to $15/acre, but no crop residue is used in this example.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hay, silage, and alfalfa gets combined and price is weighted based on the proportions of each forage.  Default scenario assumes stockers are on pasture entire time.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corn, soybean meal, and distiller's grains gets combined and price is weighted based on the proportions of each feedstuff.  Default scenario assumes no grain or supplements are used.</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total amount is entered for the grazing period.</a:t>
          </a: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between .15 and .30 hours per month, default assumes .20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combined values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values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10 farms with an average of 287 head.  </a:t>
          </a:r>
          <a:endParaRPr lang="en-US" sz="900">
            <a:effectLst/>
          </a:endParaRPr>
        </a:p>
        <a:p>
          <a:pPr eaLnBrk="1" fontAlgn="auto" latinLnBrk="0" hangingPunct="1"/>
          <a:endParaRPr lang="en-US" b="1">
            <a:effectLst/>
          </a:endParaRPr>
        </a:p>
        <a:p>
          <a:pPr eaLnBrk="1" fontAlgn="auto" latinLnBrk="0" hangingPunct="1"/>
          <a:endParaRPr lang="en-US">
            <a:effectLst/>
          </a:endParaRPr>
        </a:p>
      </xdr:txBody>
    </xdr:sp>
    <xdr:clientData/>
  </xdr:twoCellAnchor>
  <mc:AlternateContent xmlns:mc="http://schemas.openxmlformats.org/markup-compatibility/2006">
    <mc:Choice xmlns:a14="http://schemas.microsoft.com/office/drawing/2010/main" Requires="a14">
      <xdr:twoCellAnchor>
        <xdr:from>
          <xdr:col>11</xdr:col>
          <xdr:colOff>19050</xdr:colOff>
          <xdr:row>2</xdr:row>
          <xdr:rowOff>171450</xdr:rowOff>
        </xdr:from>
        <xdr:to>
          <xdr:col>14</xdr:col>
          <xdr:colOff>428625</xdr:colOff>
          <xdr:row>4</xdr:row>
          <xdr:rowOff>114300</xdr:rowOff>
        </xdr:to>
        <xdr:sp macro="" textlink="">
          <xdr:nvSpPr>
            <xdr:cNvPr id="13313" name="Button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600075</xdr:colOff>
          <xdr:row>5</xdr:row>
          <xdr:rowOff>152400</xdr:rowOff>
        </xdr:from>
        <xdr:to>
          <xdr:col>14</xdr:col>
          <xdr:colOff>438150</xdr:colOff>
          <xdr:row>7</xdr:row>
          <xdr:rowOff>95250</xdr:rowOff>
        </xdr:to>
        <xdr:sp macro="" textlink="">
          <xdr:nvSpPr>
            <xdr:cNvPr id="13314" name="Button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twoCellAnchor>
    <xdr:from>
      <xdr:col>0</xdr:col>
      <xdr:colOff>25977</xdr:colOff>
      <xdr:row>129</xdr:row>
      <xdr:rowOff>103909</xdr:rowOff>
    </xdr:from>
    <xdr:to>
      <xdr:col>9</xdr:col>
      <xdr:colOff>659174</xdr:colOff>
      <xdr:row>133</xdr:row>
      <xdr:rowOff>166253</xdr:rowOff>
    </xdr:to>
    <xdr:sp macro="" textlink="">
      <xdr:nvSpPr>
        <xdr:cNvPr id="7" name="TextBox 6"/>
        <xdr:cNvSpPr txBox="1"/>
      </xdr:nvSpPr>
      <xdr:spPr>
        <a:xfrm>
          <a:off x="25977" y="25925318"/>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46</xdr:row>
      <xdr:rowOff>19048</xdr:rowOff>
    </xdr:from>
    <xdr:to>
      <xdr:col>2</xdr:col>
      <xdr:colOff>503555</xdr:colOff>
      <xdr:row>88</xdr:row>
      <xdr:rowOff>1111250</xdr:rowOff>
    </xdr:to>
    <xdr:sp macro="" textlink="">
      <xdr:nvSpPr>
        <xdr:cNvPr id="2" name="TextBox 1"/>
        <xdr:cNvSpPr txBox="1"/>
      </xdr:nvSpPr>
      <xdr:spPr>
        <a:xfrm>
          <a:off x="9525" y="10067923"/>
          <a:ext cx="3389630" cy="9093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Harvested forages, grain/supplements, and mineral are on a head per day basis and will be multiplied by the days in the finishing lot to determine total feed amounts.</a:t>
          </a:r>
        </a:p>
        <a:p>
          <a:pPr>
            <a:tabLst>
              <a:tab pos="365760" algn="l"/>
            </a:tabLst>
          </a:pPr>
          <a:endParaRPr lang="en-US" sz="11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in Feed &amp; Average Daily Gain: </a:t>
          </a:r>
          <a:r>
            <a:rPr lang="en-US" sz="1100" b="0" baseline="0">
              <a:solidFill>
                <a:schemeClr val="dk1"/>
              </a:solidFill>
              <a:effectLst/>
              <a:latin typeface="+mn-lt"/>
              <a:ea typeface="+mn-ea"/>
              <a:cs typeface="+mn-cs"/>
            </a:rPr>
            <a:t>Will be used to calculate ending weight and be multiplied by feed inputs which are on a per day basis.  ADG is a large driver of returns, so should be adjusted to fit the production setting.  </a:t>
          </a: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Fed Animal Sale: </a:t>
          </a:r>
          <a:r>
            <a:rPr lang="en-US" sz="1100" b="0" baseline="0">
              <a:solidFill>
                <a:schemeClr val="dk1"/>
              </a:solidFill>
              <a:effectLst/>
              <a:latin typeface="+mn-lt"/>
              <a:ea typeface="+mn-ea"/>
              <a:cs typeface="+mn-cs"/>
            </a:rPr>
            <a:t>Default is based upon 5-area average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Feeder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46</xdr:row>
      <xdr:rowOff>19048</xdr:rowOff>
    </xdr:from>
    <xdr:to>
      <xdr:col>9</xdr:col>
      <xdr:colOff>995681</xdr:colOff>
      <xdr:row>88</xdr:row>
      <xdr:rowOff>1143000</xdr:rowOff>
    </xdr:to>
    <xdr:sp macro="" textlink="">
      <xdr:nvSpPr>
        <xdr:cNvPr id="3" name="TextBox 2"/>
        <xdr:cNvSpPr txBox="1"/>
      </xdr:nvSpPr>
      <xdr:spPr>
        <a:xfrm>
          <a:off x="3397251" y="10067923"/>
          <a:ext cx="3380105" cy="9124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endParaRPr lang="en-US">
            <a:effectLst/>
          </a:endParaRPr>
        </a:p>
        <a:p>
          <a:pPr eaLnBrk="1" fontAlgn="auto" latinLnBrk="0" hangingPunct="1"/>
          <a:endParaRPr lang="en-US" sz="9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hay, silage, and alfalfa gets combined and multiplied by days in the finishing lot.  The price is weighted based on the proportions of each forage.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corn, soybean meal, and distiller's grains gets combined and multiplied by days in the finishing lot. The price is weighted based on the proportions of each feedstuff.</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daily amount is entered which is multiplied by days in the finishing lot.</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.15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values which includes fuel &amp; oil for equipment, and the enterprises's share of telephone, electricity, gas, and water expenses.  </a:t>
          </a:r>
          <a:endParaRPr lang="en-US">
            <a:effectLst/>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building rent,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value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400">
            <a:effectLst/>
          </a:endParaRPr>
        </a:p>
        <a:p>
          <a:pPr eaLnBrk="1" fontAlgn="auto" latinLnBrk="0" hangingPunct="1"/>
          <a:endParaRPr lang="en-US" sz="4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19 farms with an average of 1,085 head.  </a:t>
          </a:r>
          <a:endParaRPr lang="en-US" sz="900">
            <a:effectLst/>
          </a:endParaRPr>
        </a:p>
        <a:p>
          <a:pPr eaLnBrk="1" fontAlgn="auto" latinLnBrk="0" hangingPunct="1"/>
          <a:endParaRPr lang="en-US">
            <a:effectLst/>
          </a:endParaRPr>
        </a:p>
      </xdr:txBody>
    </xdr:sp>
    <xdr:clientData/>
  </xdr:twoCellAnchor>
  <xdr:oneCellAnchor>
    <xdr:from>
      <xdr:col>14</xdr:col>
      <xdr:colOff>428625</xdr:colOff>
      <xdr:row>15</xdr:row>
      <xdr:rowOff>76200</xdr:rowOff>
    </xdr:from>
    <xdr:ext cx="184731" cy="264560"/>
    <xdr:sp macro="" textlink="">
      <xdr:nvSpPr>
        <xdr:cNvPr id="7" name="TextBox 6"/>
        <xdr:cNvSpPr txBox="1"/>
      </xdr:nvSpPr>
      <xdr:spPr>
        <a:xfrm>
          <a:off x="994410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10</xdr:col>
          <xdr:colOff>609600</xdr:colOff>
          <xdr:row>4</xdr:row>
          <xdr:rowOff>38100</xdr:rowOff>
        </xdr:from>
        <xdr:to>
          <xdr:col>14</xdr:col>
          <xdr:colOff>447675</xdr:colOff>
          <xdr:row>6</xdr:row>
          <xdr:rowOff>9525</xdr:rowOff>
        </xdr:to>
        <xdr:sp macro="" textlink="">
          <xdr:nvSpPr>
            <xdr:cNvPr id="16405" name="Button 21" hidden="1">
              <a:extLst>
                <a:ext uri="{63B3BB69-23CF-44E3-9099-C40C66FF867C}">
                  <a14:compatExt spid="_x0000_s1640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180975</xdr:rowOff>
        </xdr:from>
        <xdr:to>
          <xdr:col>14</xdr:col>
          <xdr:colOff>466725</xdr:colOff>
          <xdr:row>7</xdr:row>
          <xdr:rowOff>152400</xdr:rowOff>
        </xdr:to>
        <xdr:sp macro="" textlink="">
          <xdr:nvSpPr>
            <xdr:cNvPr id="16406" name="Button 22" hidden="1">
              <a:extLst>
                <a:ext uri="{63B3BB69-23CF-44E3-9099-C40C66FF867C}">
                  <a14:compatExt spid="_x0000_s1640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twoCellAnchor>
    <xdr:from>
      <xdr:col>0</xdr:col>
      <xdr:colOff>0</xdr:colOff>
      <xdr:row>127</xdr:row>
      <xdr:rowOff>95250</xdr:rowOff>
    </xdr:from>
    <xdr:to>
      <xdr:col>9</xdr:col>
      <xdr:colOff>763084</xdr:colOff>
      <xdr:row>131</xdr:row>
      <xdr:rowOff>157594</xdr:rowOff>
    </xdr:to>
    <xdr:sp macro="" textlink="">
      <xdr:nvSpPr>
        <xdr:cNvPr id="8" name="TextBox 7"/>
        <xdr:cNvSpPr txBox="1"/>
      </xdr:nvSpPr>
      <xdr:spPr>
        <a:xfrm>
          <a:off x="0" y="26029227"/>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pendell@k-state.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usda.gov/oce/commodity/projections/"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X51"/>
  <sheetViews>
    <sheetView showGridLines="0" tabSelected="1" zoomScale="92" zoomScaleNormal="100" workbookViewId="0">
      <selection activeCell="L9" sqref="L9"/>
    </sheetView>
  </sheetViews>
  <sheetFormatPr defaultRowHeight="12.75" x14ac:dyDescent="0.2"/>
  <cols>
    <col min="1" max="1" width="3.5703125" style="158" customWidth="1"/>
    <col min="2" max="4" width="9.140625" style="158"/>
    <col min="5" max="5" width="9" style="158" customWidth="1"/>
    <col min="6" max="11" width="9.140625" style="158"/>
    <col min="12" max="12" width="23.28515625" style="158" customWidth="1"/>
    <col min="13" max="13" width="3.7109375" style="158" customWidth="1"/>
    <col min="14" max="16384" width="9.140625" style="158"/>
  </cols>
  <sheetData>
    <row r="1" spans="2:24" ht="10.5" customHeight="1" thickBot="1" x14ac:dyDescent="0.25"/>
    <row r="2" spans="2:24" ht="7.5" customHeight="1" x14ac:dyDescent="0.25">
      <c r="B2" s="159"/>
      <c r="C2" s="160"/>
      <c r="D2" s="160"/>
      <c r="E2" s="160"/>
      <c r="F2" s="160"/>
      <c r="G2" s="160"/>
      <c r="H2" s="160"/>
      <c r="I2" s="160"/>
      <c r="J2" s="160"/>
      <c r="K2" s="160"/>
      <c r="L2" s="161"/>
    </row>
    <row r="3" spans="2:24" ht="26.25" x14ac:dyDescent="0.4">
      <c r="B3" s="162" t="s">
        <v>142</v>
      </c>
      <c r="C3" s="163"/>
      <c r="D3" s="163"/>
      <c r="E3" s="163"/>
      <c r="F3" s="163"/>
      <c r="G3" s="163"/>
      <c r="H3" s="164"/>
      <c r="I3" s="164"/>
      <c r="J3" s="165"/>
      <c r="K3" s="165"/>
      <c r="L3" s="166"/>
    </row>
    <row r="4" spans="2:24" ht="18" customHeight="1" x14ac:dyDescent="0.3">
      <c r="B4" s="167"/>
      <c r="C4" s="168"/>
      <c r="D4" s="169"/>
      <c r="E4" s="169"/>
      <c r="F4" s="170"/>
      <c r="G4" s="170"/>
      <c r="H4" s="164"/>
      <c r="I4" s="164"/>
      <c r="J4" s="165"/>
      <c r="K4" s="165"/>
      <c r="L4" s="166"/>
    </row>
    <row r="5" spans="2:24" ht="15.75" customHeight="1" x14ac:dyDescent="0.25">
      <c r="B5" s="201" t="s">
        <v>143</v>
      </c>
      <c r="C5" s="202"/>
      <c r="D5" s="202"/>
      <c r="E5" s="202"/>
      <c r="F5" s="202"/>
      <c r="G5" s="202"/>
      <c r="H5" s="202"/>
      <c r="I5" s="202"/>
      <c r="J5" s="165"/>
      <c r="K5" s="165"/>
      <c r="L5" s="166"/>
      <c r="N5" s="204"/>
      <c r="O5" s="205"/>
      <c r="P5" s="205"/>
      <c r="Q5" s="205"/>
      <c r="R5" s="205"/>
      <c r="S5" s="205"/>
      <c r="T5" s="205"/>
      <c r="U5" s="205"/>
      <c r="V5" s="205"/>
      <c r="W5" s="205"/>
      <c r="X5" s="205"/>
    </row>
    <row r="6" spans="2:24" ht="15.75" x14ac:dyDescent="0.25">
      <c r="B6" s="203"/>
      <c r="C6" s="202"/>
      <c r="D6" s="202"/>
      <c r="E6" s="202"/>
      <c r="F6" s="202"/>
      <c r="G6" s="202"/>
      <c r="H6" s="202"/>
      <c r="I6" s="202"/>
      <c r="J6" s="165"/>
      <c r="K6" s="165"/>
      <c r="L6" s="166"/>
      <c r="N6" s="205"/>
      <c r="O6" s="205"/>
      <c r="P6" s="205"/>
      <c r="Q6" s="205"/>
      <c r="R6" s="205"/>
      <c r="S6" s="205"/>
      <c r="T6" s="205"/>
      <c r="U6" s="205"/>
      <c r="V6" s="205"/>
      <c r="W6" s="205"/>
      <c r="X6" s="205"/>
    </row>
    <row r="7" spans="2:24" ht="5.25" customHeight="1" x14ac:dyDescent="0.25">
      <c r="B7" s="171"/>
      <c r="C7" s="172"/>
      <c r="D7" s="172"/>
      <c r="E7" s="172"/>
      <c r="F7" s="172"/>
      <c r="G7" s="172"/>
      <c r="H7" s="172"/>
      <c r="I7" s="165"/>
      <c r="J7" s="165"/>
      <c r="K7" s="173"/>
      <c r="L7" s="174"/>
    </row>
    <row r="8" spans="2:24" ht="13.5" customHeight="1" thickBot="1" x14ac:dyDescent="0.3">
      <c r="B8" s="175"/>
      <c r="C8" s="206"/>
      <c r="D8" s="207"/>
      <c r="E8" s="208"/>
      <c r="F8" s="209"/>
      <c r="G8" s="176"/>
      <c r="H8" s="176"/>
      <c r="I8" s="176"/>
      <c r="J8" s="176"/>
      <c r="K8" s="177"/>
      <c r="L8" s="178" t="s">
        <v>168</v>
      </c>
      <c r="N8" s="210"/>
    </row>
    <row r="9" spans="2:24" ht="9.75" customHeight="1" x14ac:dyDescent="0.25">
      <c r="B9" s="179"/>
      <c r="C9" s="179"/>
      <c r="D9" s="179"/>
      <c r="E9" s="179"/>
      <c r="F9" s="179"/>
      <c r="G9" s="180"/>
      <c r="H9" s="179"/>
      <c r="I9" s="179"/>
      <c r="J9" s="179"/>
      <c r="K9" s="179"/>
      <c r="L9" s="179"/>
      <c r="N9" s="210"/>
    </row>
    <row r="28" spans="2:12" ht="15.75" x14ac:dyDescent="0.25">
      <c r="B28" s="181" t="s">
        <v>144</v>
      </c>
      <c r="C28" s="182"/>
      <c r="D28" s="182"/>
      <c r="E28" s="182"/>
      <c r="F28" s="183"/>
      <c r="G28" s="183"/>
      <c r="H28" s="183"/>
      <c r="I28" s="183"/>
      <c r="J28" s="183"/>
      <c r="K28" s="183"/>
      <c r="L28" s="183"/>
    </row>
    <row r="29" spans="2:12" x14ac:dyDescent="0.2">
      <c r="B29" s="200" t="s">
        <v>145</v>
      </c>
      <c r="C29" s="200"/>
      <c r="D29" s="200"/>
      <c r="E29" s="200"/>
      <c r="F29" s="200"/>
      <c r="G29" s="200"/>
      <c r="H29" s="200"/>
      <c r="I29" s="200"/>
      <c r="J29" s="200"/>
      <c r="K29" s="200"/>
      <c r="L29" s="200"/>
    </row>
    <row r="30" spans="2:12" ht="48" customHeight="1" x14ac:dyDescent="0.2">
      <c r="B30" s="200"/>
      <c r="C30" s="200"/>
      <c r="D30" s="200"/>
      <c r="E30" s="200"/>
      <c r="F30" s="200"/>
      <c r="G30" s="200"/>
      <c r="H30" s="200"/>
      <c r="I30" s="200"/>
      <c r="J30" s="200"/>
      <c r="K30" s="200"/>
      <c r="L30" s="200"/>
    </row>
    <row r="31" spans="2:12" ht="19.5" customHeight="1" x14ac:dyDescent="0.25">
      <c r="B31" s="211" t="s">
        <v>146</v>
      </c>
      <c r="C31" s="212"/>
      <c r="D31" s="212"/>
      <c r="E31" s="212"/>
      <c r="F31" s="184"/>
      <c r="G31" s="185"/>
      <c r="H31" s="184"/>
      <c r="I31" s="184"/>
      <c r="J31" s="184"/>
      <c r="K31" s="184"/>
      <c r="L31" s="184"/>
    </row>
    <row r="32" spans="2:12" ht="15.75" customHeight="1" x14ac:dyDescent="0.2">
      <c r="B32" s="213" t="s">
        <v>147</v>
      </c>
      <c r="C32" s="213"/>
      <c r="D32" s="213"/>
      <c r="E32" s="213"/>
      <c r="F32" s="213"/>
      <c r="G32" s="213"/>
      <c r="H32" s="213"/>
      <c r="I32" s="213"/>
      <c r="J32" s="213"/>
      <c r="K32" s="213"/>
      <c r="L32" s="213"/>
    </row>
    <row r="33" spans="2:12" ht="15.75" customHeight="1" x14ac:dyDescent="0.2">
      <c r="B33" s="213"/>
      <c r="C33" s="213"/>
      <c r="D33" s="213"/>
      <c r="E33" s="213"/>
      <c r="F33" s="213"/>
      <c r="G33" s="213"/>
      <c r="H33" s="213"/>
      <c r="I33" s="213"/>
      <c r="J33" s="213"/>
      <c r="K33" s="213"/>
      <c r="L33" s="213"/>
    </row>
    <row r="34" spans="2:12" ht="12.75" customHeight="1" x14ac:dyDescent="0.2">
      <c r="C34" s="186"/>
      <c r="D34" s="186"/>
      <c r="E34" s="186"/>
      <c r="F34" s="186"/>
      <c r="G34" s="186"/>
      <c r="H34" s="186"/>
      <c r="I34" s="186"/>
      <c r="J34" s="186"/>
      <c r="K34" s="186"/>
      <c r="L34" s="186"/>
    </row>
    <row r="35" spans="2:12" ht="12.75" customHeight="1" x14ac:dyDescent="0.2">
      <c r="B35" s="186"/>
      <c r="C35" s="186"/>
      <c r="D35" s="186"/>
      <c r="E35" s="186"/>
      <c r="F35" s="186"/>
      <c r="G35" s="186"/>
      <c r="H35" s="186"/>
      <c r="I35" s="186"/>
      <c r="J35" s="186"/>
      <c r="K35" s="186"/>
      <c r="L35" s="186"/>
    </row>
    <row r="36" spans="2:12" ht="15.75" hidden="1" x14ac:dyDescent="0.25">
      <c r="B36" s="187"/>
      <c r="C36" s="187"/>
      <c r="D36" s="187"/>
      <c r="E36" s="187"/>
      <c r="F36" s="187"/>
      <c r="G36" s="187"/>
      <c r="H36" s="187"/>
      <c r="I36" s="187"/>
      <c r="J36" s="187"/>
      <c r="K36" s="187"/>
      <c r="L36" s="187"/>
    </row>
    <row r="37" spans="2:12" ht="15.75" x14ac:dyDescent="0.25">
      <c r="B37" s="188" t="s">
        <v>148</v>
      </c>
      <c r="C37" s="183"/>
      <c r="D37" s="184"/>
      <c r="E37" s="184"/>
      <c r="F37" s="184"/>
      <c r="G37" s="184"/>
      <c r="H37" s="184"/>
      <c r="I37" s="184"/>
      <c r="J37" s="184"/>
      <c r="K37" s="184"/>
      <c r="L37" s="184"/>
    </row>
    <row r="38" spans="2:12" ht="18" customHeight="1" x14ac:dyDescent="0.2">
      <c r="B38" s="214" t="s">
        <v>149</v>
      </c>
      <c r="C38" s="214"/>
      <c r="D38" s="214"/>
      <c r="E38" s="214"/>
      <c r="F38" s="214"/>
      <c r="G38" s="214"/>
      <c r="H38" s="214"/>
      <c r="I38" s="214"/>
      <c r="J38" s="214"/>
      <c r="K38" s="214"/>
      <c r="L38" s="214"/>
    </row>
    <row r="39" spans="2:12" ht="12.75" customHeight="1" x14ac:dyDescent="0.2">
      <c r="B39" s="214"/>
      <c r="C39" s="214"/>
      <c r="D39" s="214"/>
      <c r="E39" s="214"/>
      <c r="F39" s="214"/>
      <c r="G39" s="214"/>
      <c r="H39" s="214"/>
      <c r="I39" s="214"/>
      <c r="J39" s="214"/>
      <c r="K39" s="214"/>
      <c r="L39" s="214"/>
    </row>
    <row r="40" spans="2:12" ht="15.75" x14ac:dyDescent="0.25">
      <c r="B40" s="183" t="s">
        <v>150</v>
      </c>
      <c r="C40" s="183"/>
      <c r="D40" s="183"/>
      <c r="E40" s="183"/>
      <c r="F40" s="189"/>
      <c r="G40" s="183" t="s">
        <v>151</v>
      </c>
      <c r="H40" s="183"/>
      <c r="I40" s="183"/>
      <c r="J40" s="183"/>
      <c r="K40" s="183"/>
    </row>
    <row r="41" spans="2:12" ht="15.75" x14ac:dyDescent="0.25">
      <c r="B41" s="183" t="s">
        <v>152</v>
      </c>
      <c r="C41" s="183"/>
      <c r="D41" s="183"/>
      <c r="E41" s="183"/>
      <c r="F41" s="189"/>
      <c r="G41" s="183" t="s">
        <v>153</v>
      </c>
      <c r="H41" s="183"/>
      <c r="I41" s="183"/>
      <c r="J41" s="183"/>
      <c r="K41" s="183"/>
    </row>
    <row r="42" spans="2:12" ht="15.75" x14ac:dyDescent="0.25">
      <c r="B42" s="183" t="s">
        <v>154</v>
      </c>
      <c r="C42" s="183"/>
      <c r="D42" s="183"/>
      <c r="E42" s="183"/>
      <c r="F42" s="183"/>
      <c r="G42" s="183" t="s">
        <v>154</v>
      </c>
      <c r="H42" s="183"/>
      <c r="I42" s="183"/>
      <c r="J42" s="183"/>
      <c r="K42" s="183"/>
    </row>
    <row r="43" spans="2:12" ht="15.75" x14ac:dyDescent="0.25">
      <c r="B43" s="183" t="s">
        <v>155</v>
      </c>
      <c r="C43" s="183"/>
      <c r="D43" s="183"/>
      <c r="E43" s="182"/>
      <c r="F43" s="183"/>
      <c r="G43" s="183" t="s">
        <v>155</v>
      </c>
      <c r="H43" s="183"/>
      <c r="I43" s="183"/>
      <c r="J43" s="183"/>
      <c r="K43" s="183"/>
    </row>
    <row r="44" spans="2:12" ht="15.75" x14ac:dyDescent="0.25">
      <c r="B44" s="215" t="s">
        <v>156</v>
      </c>
      <c r="C44" s="212"/>
      <c r="D44" s="212"/>
      <c r="E44" s="182"/>
      <c r="F44" s="183"/>
      <c r="G44" s="215" t="s">
        <v>157</v>
      </c>
      <c r="H44" s="212"/>
      <c r="I44" s="212"/>
      <c r="J44" s="183"/>
      <c r="K44" s="183"/>
    </row>
    <row r="45" spans="2:12" ht="15.75" x14ac:dyDescent="0.25">
      <c r="B45" s="157" t="s">
        <v>158</v>
      </c>
      <c r="C45" s="190"/>
      <c r="D45" s="182"/>
      <c r="E45" s="183"/>
      <c r="F45" s="183"/>
      <c r="G45" s="157" t="s">
        <v>159</v>
      </c>
      <c r="H45" s="190"/>
      <c r="I45" s="182"/>
      <c r="J45" s="183"/>
      <c r="K45" s="183"/>
    </row>
    <row r="46" spans="2:12" ht="15.75" x14ac:dyDescent="0.25">
      <c r="B46" s="157"/>
      <c r="C46" s="190"/>
      <c r="D46" s="182"/>
      <c r="E46" s="183"/>
      <c r="F46" s="183"/>
      <c r="G46" s="157"/>
      <c r="H46" s="190"/>
      <c r="I46" s="182"/>
      <c r="J46" s="183"/>
      <c r="K46" s="183"/>
    </row>
    <row r="47" spans="2:12" ht="15.75" x14ac:dyDescent="0.25">
      <c r="B47" s="157"/>
      <c r="C47" s="190"/>
      <c r="D47" s="182"/>
      <c r="E47" s="183"/>
      <c r="F47" s="183"/>
      <c r="G47" s="157"/>
      <c r="H47" s="190"/>
      <c r="I47" s="182"/>
      <c r="J47" s="183"/>
      <c r="K47" s="183"/>
    </row>
    <row r="48" spans="2:12" ht="15.75" x14ac:dyDescent="0.25">
      <c r="B48" s="188" t="s">
        <v>160</v>
      </c>
      <c r="C48" s="184"/>
      <c r="D48" s="183"/>
      <c r="E48" s="183"/>
      <c r="F48" s="183"/>
      <c r="G48" s="183"/>
      <c r="H48" s="183"/>
      <c r="I48" s="183"/>
      <c r="J48" s="183"/>
      <c r="K48" s="183"/>
      <c r="L48" s="183"/>
    </row>
    <row r="49" spans="2:13" ht="15.75" customHeight="1" x14ac:dyDescent="0.2">
      <c r="B49" s="200" t="s">
        <v>167</v>
      </c>
      <c r="C49" s="200"/>
      <c r="D49" s="200"/>
      <c r="E49" s="200"/>
      <c r="F49" s="200"/>
      <c r="G49" s="200"/>
      <c r="H49" s="200"/>
      <c r="I49" s="200"/>
      <c r="J49" s="200"/>
      <c r="K49" s="200"/>
      <c r="L49" s="200"/>
      <c r="M49" s="200"/>
    </row>
    <row r="50" spans="2:13" ht="15.75" customHeight="1" x14ac:dyDescent="0.2">
      <c r="B50" s="200"/>
      <c r="C50" s="200"/>
      <c r="D50" s="200"/>
      <c r="E50" s="200"/>
      <c r="F50" s="200"/>
      <c r="G50" s="200"/>
      <c r="H50" s="200"/>
      <c r="I50" s="200"/>
      <c r="J50" s="200"/>
      <c r="K50" s="200"/>
      <c r="L50" s="200"/>
      <c r="M50" s="200"/>
    </row>
    <row r="51" spans="2:13" ht="15.75" x14ac:dyDescent="0.25">
      <c r="B51" s="191"/>
    </row>
  </sheetData>
  <sheetProtection algorithmName="SHA-512" hashValue="pJsGavn6rLKb0ieUAfbTsdWfxFEpaoDHjuol0Uz6YgZVWIPdfMLunhihARLSZczi11aWQc2XXa0XJpjpFMhhAA==" saltValue="wfKEaN0qnEV72FEwuhN2qw==" spinCount="100000" sheet="1" objects="1" scenarios="1"/>
  <mergeCells count="12">
    <mergeCell ref="B49:M50"/>
    <mergeCell ref="B5:I6"/>
    <mergeCell ref="N5:X6"/>
    <mergeCell ref="C8:D8"/>
    <mergeCell ref="E8:F8"/>
    <mergeCell ref="N8:N9"/>
    <mergeCell ref="B29:L30"/>
    <mergeCell ref="B31:E31"/>
    <mergeCell ref="B32:L33"/>
    <mergeCell ref="B38:L39"/>
    <mergeCell ref="B44:D44"/>
    <mergeCell ref="G44:I44"/>
  </mergeCells>
  <hyperlinks>
    <hyperlink ref="G44" r:id="rId1"/>
    <hyperlink ref="B44" r:id="rId2"/>
  </hyperlinks>
  <printOptions horizontalCentered="1"/>
  <pageMargins left="0.75" right="0.75" top="1" bottom="1" header="0.5" footer="0.5"/>
  <pageSetup scale="73"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7030A0"/>
    <pageSetUpPr fitToPage="1"/>
  </sheetPr>
  <dimension ref="A1:H19"/>
  <sheetViews>
    <sheetView zoomScale="90" zoomScaleNormal="90" workbookViewId="0">
      <selection activeCell="H7" sqref="H7"/>
    </sheetView>
  </sheetViews>
  <sheetFormatPr defaultRowHeight="15" x14ac:dyDescent="0.25"/>
  <cols>
    <col min="1" max="1" width="30.28515625" customWidth="1"/>
    <col min="2" max="3" width="24.140625" bestFit="1" customWidth="1"/>
    <col min="4" max="4" width="60.5703125" hidden="1" customWidth="1"/>
    <col min="5" max="5" width="1.85546875" hidden="1" customWidth="1"/>
    <col min="6" max="6" width="46.7109375" hidden="1" customWidth="1"/>
  </cols>
  <sheetData>
    <row r="1" spans="1:8" x14ac:dyDescent="0.25">
      <c r="A1" s="2" t="s">
        <v>19</v>
      </c>
    </row>
    <row r="2" spans="1:8" x14ac:dyDescent="0.25">
      <c r="A2" s="2" t="s">
        <v>38</v>
      </c>
    </row>
    <row r="3" spans="1:8" x14ac:dyDescent="0.25">
      <c r="A3" s="2"/>
    </row>
    <row r="4" spans="1:8" x14ac:dyDescent="0.25">
      <c r="B4" s="23" t="str">
        <f>A1</f>
        <v>Current Prices</v>
      </c>
      <c r="C4" s="25" t="str">
        <f>A2</f>
        <v>One Year Out Prices</v>
      </c>
      <c r="D4" s="24"/>
      <c r="F4" s="33"/>
    </row>
    <row r="5" spans="1:8" x14ac:dyDescent="0.25">
      <c r="B5" s="92" t="s">
        <v>169</v>
      </c>
      <c r="C5" s="25" t="str">
        <f>B5</f>
        <v>(as of Dec. 5th, 2016)</v>
      </c>
      <c r="D5" s="24" t="s">
        <v>1</v>
      </c>
      <c r="F5" s="33"/>
    </row>
    <row r="6" spans="1:8" x14ac:dyDescent="0.25">
      <c r="A6" t="s">
        <v>163</v>
      </c>
      <c r="B6" s="93">
        <v>305</v>
      </c>
      <c r="C6" s="94">
        <v>304.8</v>
      </c>
      <c r="D6" s="95" t="s">
        <v>37</v>
      </c>
      <c r="E6" s="96"/>
      <c r="F6" s="34" t="s">
        <v>17</v>
      </c>
      <c r="G6" s="20"/>
      <c r="H6" s="20"/>
    </row>
    <row r="7" spans="1:8" x14ac:dyDescent="0.25">
      <c r="A7" t="s">
        <v>170</v>
      </c>
      <c r="B7" s="93">
        <v>4.87</v>
      </c>
      <c r="C7" s="94">
        <v>5.4766541471048509</v>
      </c>
      <c r="D7" s="95" t="s">
        <v>36</v>
      </c>
      <c r="E7" s="96"/>
      <c r="F7" s="33" t="s">
        <v>17</v>
      </c>
      <c r="G7" s="20"/>
      <c r="H7" s="20"/>
    </row>
    <row r="8" spans="1:8" s="20" customFormat="1" x14ac:dyDescent="0.25">
      <c r="B8" s="97"/>
      <c r="C8" s="124"/>
      <c r="D8" s="123"/>
      <c r="E8" s="123"/>
    </row>
    <row r="9" spans="1:8" x14ac:dyDescent="0.25">
      <c r="A9" t="s">
        <v>83</v>
      </c>
      <c r="B9" s="93">
        <v>25.56</v>
      </c>
      <c r="C9" s="94">
        <v>28.743999999999996</v>
      </c>
      <c r="D9" s="99">
        <v>0</v>
      </c>
      <c r="E9" s="96"/>
      <c r="F9" s="88" t="s">
        <v>107</v>
      </c>
      <c r="G9" s="20"/>
      <c r="H9" s="20"/>
    </row>
    <row r="10" spans="1:8" x14ac:dyDescent="0.25">
      <c r="A10" t="s">
        <v>171</v>
      </c>
      <c r="B10" s="93">
        <v>60</v>
      </c>
      <c r="C10" s="94">
        <v>67.474178403755872</v>
      </c>
      <c r="D10" s="100">
        <v>0</v>
      </c>
      <c r="E10" s="101"/>
      <c r="F10" s="33" t="s">
        <v>39</v>
      </c>
      <c r="G10" s="20"/>
      <c r="H10" s="20"/>
    </row>
    <row r="11" spans="1:8" x14ac:dyDescent="0.25">
      <c r="A11" t="s">
        <v>71</v>
      </c>
      <c r="B11" s="93">
        <v>100</v>
      </c>
      <c r="C11" s="94">
        <v>112.45696400625977</v>
      </c>
      <c r="D11" s="100">
        <v>0</v>
      </c>
      <c r="E11" s="101"/>
      <c r="F11" s="33" t="s">
        <v>39</v>
      </c>
      <c r="G11" s="20"/>
      <c r="H11" s="20"/>
    </row>
    <row r="12" spans="1:8" x14ac:dyDescent="0.25">
      <c r="A12" t="s">
        <v>72</v>
      </c>
      <c r="B12" s="93">
        <v>19.760000000000002</v>
      </c>
      <c r="C12" s="94">
        <v>20.155200000000001</v>
      </c>
      <c r="D12" s="95">
        <v>0</v>
      </c>
      <c r="E12" s="96"/>
      <c r="F12" s="33" t="s">
        <v>35</v>
      </c>
      <c r="G12" s="20"/>
      <c r="H12" s="20"/>
    </row>
    <row r="13" spans="1:8" x14ac:dyDescent="0.25">
      <c r="A13" t="s">
        <v>172</v>
      </c>
      <c r="B13" s="155">
        <v>0.5</v>
      </c>
      <c r="C13" s="156">
        <v>0.51</v>
      </c>
      <c r="D13" s="95">
        <v>0</v>
      </c>
      <c r="E13" s="96"/>
      <c r="F13" s="33" t="s">
        <v>35</v>
      </c>
      <c r="G13" s="20"/>
      <c r="H13" s="20"/>
    </row>
    <row r="14" spans="1:8" s="20" customFormat="1" x14ac:dyDescent="0.25">
      <c r="B14" s="98"/>
      <c r="C14" s="98"/>
      <c r="D14" s="98"/>
      <c r="E14" s="98"/>
      <c r="F14" s="33"/>
    </row>
    <row r="15" spans="1:8" x14ac:dyDescent="0.25">
      <c r="A15" t="s">
        <v>173</v>
      </c>
      <c r="B15" s="93">
        <v>145.47</v>
      </c>
      <c r="C15" s="94">
        <v>143.69</v>
      </c>
      <c r="D15" s="100"/>
      <c r="E15" s="101"/>
      <c r="F15" s="33"/>
      <c r="G15" s="20"/>
      <c r="H15" s="20"/>
    </row>
    <row r="16" spans="1:8" x14ac:dyDescent="0.25">
      <c r="A16" t="s">
        <v>174</v>
      </c>
      <c r="B16" s="93">
        <v>46.82</v>
      </c>
      <c r="C16" s="94">
        <v>46.18</v>
      </c>
      <c r="D16" s="100">
        <v>0</v>
      </c>
      <c r="E16" s="101"/>
      <c r="F16" s="33" t="s">
        <v>17</v>
      </c>
      <c r="G16" s="20"/>
      <c r="H16" s="20"/>
    </row>
    <row r="17" spans="2:2" x14ac:dyDescent="0.25">
      <c r="B17" s="4"/>
    </row>
    <row r="18" spans="2:2" x14ac:dyDescent="0.25">
      <c r="B18" s="4"/>
    </row>
    <row r="19" spans="2:2" x14ac:dyDescent="0.25">
      <c r="B19" s="4"/>
    </row>
  </sheetData>
  <sheetProtection algorithmName="SHA-512" hashValue="VEYphOL/3kQXp8H4DO9ZDQAY09t0BxBI19Hugr0M/qt5W1n1T6yMlE4RueIiufeoZwppjrH/VbLV06Y9krJd/Q==" saltValue="yq9dcTz5p8j9R4xn2jB5KQ==" spinCount="100000" sheet="1" objects="1" scenarios="1"/>
  <hyperlinks>
    <hyperlink ref="F6" r:id="rId1"/>
  </hyperlinks>
  <pageMargins left="0.25" right="0.25" top="0.75" bottom="0.75" header="0.3" footer="0.3"/>
  <pageSetup orientation="portrait" horizontalDpi="4294967295" verticalDpi="4294967295" r:id="rId2"/>
  <ignoredErrors>
    <ignoredError sqref="E13 D6:E6" unlockedFormula="1"/>
  </ignoredError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B1:L30"/>
  <sheetViews>
    <sheetView workbookViewId="0">
      <selection activeCell="C13" activeCellId="2" sqref="C5:C8 C10:C11 C13"/>
    </sheetView>
  </sheetViews>
  <sheetFormatPr defaultRowHeight="15" x14ac:dyDescent="0.25"/>
  <cols>
    <col min="2" max="2" width="31.140625" customWidth="1"/>
    <col min="3" max="3" width="12.28515625" customWidth="1"/>
    <col min="4" max="4" width="18.7109375" customWidth="1"/>
    <col min="5" max="5" width="12.28515625" customWidth="1"/>
    <col min="6" max="6" width="13.7109375" customWidth="1"/>
    <col min="8" max="8" width="30.85546875" hidden="1" customWidth="1"/>
    <col min="9" max="11" width="0" hidden="1" customWidth="1"/>
    <col min="12" max="12" width="17.28515625" hidden="1" customWidth="1"/>
    <col min="13" max="13" width="0" hidden="1" customWidth="1"/>
  </cols>
  <sheetData>
    <row r="1" spans="2:12" ht="28.5" x14ac:dyDescent="0.45">
      <c r="B1" s="216" t="s">
        <v>116</v>
      </c>
      <c r="C1" s="216"/>
      <c r="D1" s="216"/>
      <c r="E1" s="216"/>
      <c r="F1" s="216"/>
      <c r="G1" s="216"/>
      <c r="H1" s="216"/>
      <c r="I1" s="216"/>
      <c r="J1" s="216"/>
      <c r="K1" s="216"/>
      <c r="L1" s="216"/>
    </row>
    <row r="2" spans="2:12" ht="17.25" customHeight="1" thickBot="1" x14ac:dyDescent="0.3"/>
    <row r="3" spans="2:12" ht="15.75" thickBot="1" x14ac:dyDescent="0.3">
      <c r="B3" s="74" t="s">
        <v>126</v>
      </c>
      <c r="C3" s="75" t="s">
        <v>129</v>
      </c>
      <c r="D3" s="75"/>
      <c r="E3" s="75"/>
      <c r="F3" s="76"/>
      <c r="H3" s="74" t="s">
        <v>56</v>
      </c>
      <c r="I3" s="75" t="s">
        <v>80</v>
      </c>
      <c r="J3" s="75"/>
      <c r="K3" s="75"/>
      <c r="L3" s="76"/>
    </row>
    <row r="4" spans="2:12" x14ac:dyDescent="0.25">
      <c r="B4" s="77"/>
      <c r="C4" s="14" t="s">
        <v>18</v>
      </c>
      <c r="D4" s="14" t="s">
        <v>4</v>
      </c>
      <c r="E4" s="29"/>
      <c r="F4" s="78"/>
      <c r="H4" s="77"/>
      <c r="I4" s="14" t="s">
        <v>18</v>
      </c>
      <c r="J4" s="14" t="s">
        <v>4</v>
      </c>
      <c r="K4" s="29"/>
      <c r="L4" s="78"/>
    </row>
    <row r="5" spans="2:12" x14ac:dyDescent="0.25">
      <c r="B5" s="79" t="s">
        <v>22</v>
      </c>
      <c r="C5" s="102">
        <v>1</v>
      </c>
      <c r="D5" s="80" t="s">
        <v>81</v>
      </c>
      <c r="E5" s="80"/>
      <c r="F5" s="78"/>
      <c r="H5" s="79" t="s">
        <v>22</v>
      </c>
      <c r="I5" s="102">
        <v>4</v>
      </c>
      <c r="J5" s="80" t="s">
        <v>79</v>
      </c>
      <c r="K5" s="29"/>
      <c r="L5" s="78"/>
    </row>
    <row r="6" spans="2:12" x14ac:dyDescent="0.25">
      <c r="B6" s="81" t="s">
        <v>78</v>
      </c>
      <c r="C6" s="102">
        <v>730</v>
      </c>
      <c r="D6" s="80" t="s">
        <v>82</v>
      </c>
      <c r="E6" s="80"/>
      <c r="F6" s="78"/>
      <c r="H6" s="79" t="s">
        <v>24</v>
      </c>
      <c r="I6" s="102">
        <v>0</v>
      </c>
      <c r="J6" s="80" t="s">
        <v>79</v>
      </c>
      <c r="K6" s="29"/>
      <c r="L6" s="78"/>
    </row>
    <row r="7" spans="2:12" x14ac:dyDescent="0.25">
      <c r="B7" s="81" t="s">
        <v>51</v>
      </c>
      <c r="C7" s="102">
        <v>457</v>
      </c>
      <c r="D7" s="80" t="s">
        <v>82</v>
      </c>
      <c r="E7" s="80"/>
      <c r="F7" s="78"/>
      <c r="H7" s="81" t="s">
        <v>108</v>
      </c>
      <c r="I7" s="103">
        <v>0</v>
      </c>
      <c r="J7" s="80" t="s">
        <v>105</v>
      </c>
      <c r="K7" s="29"/>
      <c r="L7" s="78"/>
    </row>
    <row r="8" spans="2:12" x14ac:dyDescent="0.25">
      <c r="B8" s="81" t="s">
        <v>161</v>
      </c>
      <c r="C8" s="102">
        <v>0</v>
      </c>
      <c r="D8" s="80" t="s">
        <v>82</v>
      </c>
      <c r="E8" s="80"/>
      <c r="F8" s="78"/>
      <c r="H8" s="81" t="s">
        <v>78</v>
      </c>
      <c r="I8" s="103">
        <v>0</v>
      </c>
      <c r="J8" s="80" t="s">
        <v>105</v>
      </c>
      <c r="K8" s="29"/>
      <c r="L8" s="78"/>
    </row>
    <row r="9" spans="2:12" x14ac:dyDescent="0.25">
      <c r="B9" s="79" t="s">
        <v>77</v>
      </c>
      <c r="C9" s="134">
        <f>SUM(C6:C8)</f>
        <v>1187</v>
      </c>
      <c r="D9" s="80" t="s">
        <v>82</v>
      </c>
      <c r="E9" s="80"/>
      <c r="F9" s="78"/>
      <c r="H9" s="81" t="s">
        <v>51</v>
      </c>
      <c r="I9" s="103">
        <v>0</v>
      </c>
      <c r="J9" s="80" t="s">
        <v>105</v>
      </c>
      <c r="K9" s="29"/>
      <c r="L9" s="78"/>
    </row>
    <row r="10" spans="2:12" x14ac:dyDescent="0.25">
      <c r="B10" s="81" t="s">
        <v>128</v>
      </c>
      <c r="C10" s="102">
        <v>630</v>
      </c>
      <c r="D10" s="80" t="s">
        <v>82</v>
      </c>
      <c r="E10" s="80"/>
      <c r="F10" s="78"/>
      <c r="H10" s="79" t="s">
        <v>77</v>
      </c>
      <c r="I10" s="82">
        <f>SUM(I7:I9)</f>
        <v>0</v>
      </c>
      <c r="J10" s="80" t="s">
        <v>105</v>
      </c>
      <c r="K10" s="29"/>
      <c r="L10" s="78"/>
    </row>
    <row r="11" spans="2:12" x14ac:dyDescent="0.25">
      <c r="B11" s="81" t="s">
        <v>164</v>
      </c>
      <c r="C11" s="102">
        <v>42</v>
      </c>
      <c r="D11" s="80" t="s">
        <v>82</v>
      </c>
      <c r="E11" s="80"/>
      <c r="F11" s="78"/>
      <c r="H11" s="81" t="s">
        <v>53</v>
      </c>
      <c r="I11" s="103">
        <v>0</v>
      </c>
      <c r="J11" s="80" t="s">
        <v>104</v>
      </c>
      <c r="K11" s="29"/>
      <c r="L11" s="78"/>
    </row>
    <row r="12" spans="2:12" x14ac:dyDescent="0.25">
      <c r="B12" s="79" t="s">
        <v>76</v>
      </c>
      <c r="C12" s="89">
        <f>SUM(C10:C11)</f>
        <v>672</v>
      </c>
      <c r="D12" s="80" t="s">
        <v>82</v>
      </c>
      <c r="E12" s="80"/>
      <c r="F12" s="78"/>
      <c r="H12" s="81" t="s">
        <v>55</v>
      </c>
      <c r="I12" s="103">
        <v>0</v>
      </c>
      <c r="J12" s="80" t="s">
        <v>104</v>
      </c>
      <c r="K12" s="29"/>
      <c r="L12" s="78"/>
    </row>
    <row r="13" spans="2:12" ht="15.75" thickBot="1" x14ac:dyDescent="0.3">
      <c r="B13" s="83" t="s">
        <v>27</v>
      </c>
      <c r="C13" s="104">
        <v>19</v>
      </c>
      <c r="D13" s="84" t="s">
        <v>82</v>
      </c>
      <c r="E13" s="84"/>
      <c r="F13" s="85"/>
      <c r="H13" s="79" t="s">
        <v>76</v>
      </c>
      <c r="I13" s="82">
        <f>SUM(I11:I12)</f>
        <v>0</v>
      </c>
      <c r="J13" s="80" t="s">
        <v>104</v>
      </c>
      <c r="K13" s="29"/>
      <c r="L13" s="78"/>
    </row>
    <row r="14" spans="2:12" ht="15.75" thickBot="1" x14ac:dyDescent="0.3">
      <c r="C14" s="27"/>
      <c r="D14" s="6"/>
      <c r="E14" s="6"/>
      <c r="H14" s="83" t="s">
        <v>40</v>
      </c>
      <c r="I14" s="106">
        <f>0.25*150</f>
        <v>37.5</v>
      </c>
      <c r="J14" s="84" t="s">
        <v>104</v>
      </c>
      <c r="K14" s="46"/>
      <c r="L14" s="85"/>
    </row>
    <row r="15" spans="2:12" x14ac:dyDescent="0.25">
      <c r="I15" s="68"/>
      <c r="J15" s="6"/>
    </row>
    <row r="16" spans="2:12" ht="15.75" hidden="1" thickBot="1" x14ac:dyDescent="0.3">
      <c r="B16" s="74" t="s">
        <v>93</v>
      </c>
      <c r="C16" s="75" t="s">
        <v>66</v>
      </c>
      <c r="D16" s="75"/>
      <c r="E16" s="75"/>
      <c r="F16" s="76"/>
    </row>
    <row r="17" spans="2:12" hidden="1" x14ac:dyDescent="0.25">
      <c r="B17" s="77"/>
      <c r="C17" s="14" t="s">
        <v>18</v>
      </c>
      <c r="D17" s="14" t="s">
        <v>4</v>
      </c>
      <c r="E17" s="29"/>
      <c r="F17" s="78"/>
      <c r="H17" s="90" t="s">
        <v>100</v>
      </c>
      <c r="I17" s="91" t="s">
        <v>66</v>
      </c>
      <c r="J17" s="91"/>
      <c r="K17" s="91"/>
      <c r="L17" s="86"/>
    </row>
    <row r="18" spans="2:12" hidden="1" x14ac:dyDescent="0.25">
      <c r="B18" s="79" t="s">
        <v>22</v>
      </c>
      <c r="C18" s="102">
        <v>0</v>
      </c>
      <c r="D18" s="80" t="s">
        <v>79</v>
      </c>
      <c r="E18" s="80"/>
      <c r="F18" s="78"/>
      <c r="H18" s="77"/>
      <c r="I18" s="44" t="s">
        <v>18</v>
      </c>
      <c r="J18" s="44" t="s">
        <v>4</v>
      </c>
      <c r="K18" s="29"/>
      <c r="L18" s="78"/>
    </row>
    <row r="19" spans="2:12" hidden="1" x14ac:dyDescent="0.25">
      <c r="B19" s="79" t="s">
        <v>24</v>
      </c>
      <c r="C19" s="102">
        <v>0</v>
      </c>
      <c r="D19" s="80" t="s">
        <v>79</v>
      </c>
      <c r="E19" s="80"/>
      <c r="F19" s="78"/>
      <c r="H19" s="81" t="s">
        <v>108</v>
      </c>
      <c r="I19" s="103">
        <v>1.5</v>
      </c>
      <c r="J19" s="80" t="s">
        <v>52</v>
      </c>
      <c r="K19" s="80"/>
      <c r="L19" s="78"/>
    </row>
    <row r="20" spans="2:12" hidden="1" x14ac:dyDescent="0.25">
      <c r="B20" s="81" t="e">
        <f>IF(C1=Prices!A1,((Feed!C13*Prices!B11)),IF(C1=Prices!A2,((Feed!C13*Prices!C12)),IF(C1=Prices!A3,((Feed!C9/Feed!#REF!)*Prices!#REF!)+((Feed!C10/Feed!#REF!)*Prices!#REF!)+((Feed!C11/Feed!#REF!)*Prices!#REF!),"")))</f>
        <v>#REF!</v>
      </c>
      <c r="C20" s="103">
        <v>3.5</v>
      </c>
      <c r="D20" s="80" t="s">
        <v>52</v>
      </c>
      <c r="E20" s="80"/>
      <c r="F20" s="78"/>
      <c r="H20" s="81" t="s">
        <v>78</v>
      </c>
      <c r="I20" s="103">
        <v>0</v>
      </c>
      <c r="J20" s="80" t="s">
        <v>52</v>
      </c>
      <c r="K20" s="80"/>
      <c r="L20" s="78"/>
    </row>
    <row r="21" spans="2:12" hidden="1" x14ac:dyDescent="0.25">
      <c r="B21" s="81" t="s">
        <v>78</v>
      </c>
      <c r="C21" s="103">
        <v>0</v>
      </c>
      <c r="D21" s="80" t="s">
        <v>52</v>
      </c>
      <c r="E21" s="80"/>
      <c r="F21" s="78"/>
      <c r="H21" s="81" t="s">
        <v>51</v>
      </c>
      <c r="I21" s="103">
        <v>1.5</v>
      </c>
      <c r="J21" s="80" t="s">
        <v>52</v>
      </c>
      <c r="K21" s="80"/>
      <c r="L21" s="78"/>
    </row>
    <row r="22" spans="2:12" hidden="1" x14ac:dyDescent="0.25">
      <c r="B22" s="81" t="s">
        <v>51</v>
      </c>
      <c r="C22" s="103">
        <v>3.5</v>
      </c>
      <c r="D22" s="80" t="s">
        <v>52</v>
      </c>
      <c r="E22" s="80"/>
      <c r="F22" s="78"/>
      <c r="H22" s="79" t="s">
        <v>77</v>
      </c>
      <c r="I22" s="82">
        <f>SUM(I19:I21)</f>
        <v>3</v>
      </c>
      <c r="J22" s="80" t="s">
        <v>52</v>
      </c>
      <c r="K22" s="80"/>
      <c r="L22" s="78"/>
    </row>
    <row r="23" spans="2:12" hidden="1" x14ac:dyDescent="0.25">
      <c r="B23" s="79" t="s">
        <v>77</v>
      </c>
      <c r="C23" s="82">
        <f>SUM(C20:C22)</f>
        <v>7</v>
      </c>
      <c r="D23" s="80" t="s">
        <v>52</v>
      </c>
      <c r="E23" s="80"/>
      <c r="F23" s="78"/>
      <c r="H23" s="81" t="s">
        <v>53</v>
      </c>
      <c r="I23" s="103">
        <v>17</v>
      </c>
      <c r="J23" s="80" t="s">
        <v>52</v>
      </c>
      <c r="K23" s="80"/>
      <c r="L23" s="78"/>
    </row>
    <row r="24" spans="2:12" hidden="1" x14ac:dyDescent="0.25">
      <c r="B24" s="81" t="s">
        <v>53</v>
      </c>
      <c r="C24" s="103">
        <v>7</v>
      </c>
      <c r="D24" s="80" t="s">
        <v>52</v>
      </c>
      <c r="E24" s="80"/>
      <c r="F24" s="78"/>
      <c r="H24" s="81" t="s">
        <v>54</v>
      </c>
      <c r="I24" s="103">
        <v>5</v>
      </c>
      <c r="J24" s="80" t="s">
        <v>52</v>
      </c>
      <c r="K24" s="80"/>
      <c r="L24" s="78"/>
    </row>
    <row r="25" spans="2:12" hidden="1" x14ac:dyDescent="0.25">
      <c r="B25" s="81" t="s">
        <v>54</v>
      </c>
      <c r="C25" s="103">
        <v>7</v>
      </c>
      <c r="D25" s="80" t="s">
        <v>52</v>
      </c>
      <c r="E25" s="80"/>
      <c r="F25" s="78"/>
      <c r="H25" s="81" t="s">
        <v>55</v>
      </c>
      <c r="I25" s="103">
        <v>0</v>
      </c>
      <c r="J25" s="80" t="s">
        <v>52</v>
      </c>
      <c r="K25" s="80"/>
      <c r="L25" s="78"/>
    </row>
    <row r="26" spans="2:12" hidden="1" x14ac:dyDescent="0.25">
      <c r="B26" s="81" t="s">
        <v>55</v>
      </c>
      <c r="C26" s="103">
        <v>0</v>
      </c>
      <c r="D26" s="80" t="s">
        <v>52</v>
      </c>
      <c r="E26" s="80"/>
      <c r="F26" s="78"/>
      <c r="H26" s="79" t="s">
        <v>76</v>
      </c>
      <c r="I26" s="82">
        <f>SUM(I23:I25)</f>
        <v>22</v>
      </c>
      <c r="J26" s="80" t="s">
        <v>52</v>
      </c>
      <c r="K26" s="44"/>
      <c r="L26" s="78"/>
    </row>
    <row r="27" spans="2:12" hidden="1" x14ac:dyDescent="0.25">
      <c r="B27" s="79" t="s">
        <v>76</v>
      </c>
      <c r="C27" s="82">
        <f>SUM(C24:C26)</f>
        <v>14</v>
      </c>
      <c r="D27" s="80" t="s">
        <v>52</v>
      </c>
      <c r="E27" s="44"/>
      <c r="F27" s="78"/>
      <c r="H27" s="79" t="s">
        <v>40</v>
      </c>
      <c r="I27" s="107">
        <v>0.5</v>
      </c>
      <c r="J27" s="80" t="s">
        <v>52</v>
      </c>
      <c r="K27" s="29"/>
      <c r="L27" s="78"/>
    </row>
    <row r="28" spans="2:12" ht="15.75" hidden="1" thickBot="1" x14ac:dyDescent="0.3">
      <c r="B28" s="83" t="s">
        <v>40</v>
      </c>
      <c r="C28" s="105">
        <v>0.3</v>
      </c>
      <c r="D28" s="84" t="s">
        <v>52</v>
      </c>
      <c r="E28" s="46"/>
      <c r="F28" s="85"/>
      <c r="H28" s="79"/>
      <c r="I28" s="29"/>
      <c r="J28" s="29"/>
      <c r="K28" s="29"/>
      <c r="L28" s="78"/>
    </row>
    <row r="29" spans="2:12" ht="15.75" hidden="1" thickBot="1" x14ac:dyDescent="0.3">
      <c r="H29" s="83"/>
      <c r="I29" s="46"/>
      <c r="J29" s="46"/>
      <c r="K29" s="46"/>
      <c r="L29" s="85"/>
    </row>
    <row r="30" spans="2:12" hidden="1" x14ac:dyDescent="0.25">
      <c r="H30" s="29"/>
      <c r="I30" s="29"/>
      <c r="J30" s="29"/>
      <c r="K30" s="29"/>
      <c r="L30" s="29"/>
    </row>
  </sheetData>
  <sheetProtection algorithmName="SHA-512" hashValue="fQGyG3vAShajfmSI6aJmvPtuEaXssNS9wlWmCkv1Ojyt/GowR0tvhZf0VCxiicvAjv9iGFLQoe7bkf8ogJep7A==" saltValue="39kq5AEsjqrazd3meubdcA==" spinCount="100000" sheet="1" objects="1" scenarios="1"/>
  <mergeCells count="1">
    <mergeCell ref="B1:L1"/>
  </mergeCells>
  <pageMargins left="0.7" right="0.7" top="0.75" bottom="0.75" header="0.3" footer="0.3"/>
  <pageSetup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5"/>
  </sheetPr>
  <dimension ref="A1:T131"/>
  <sheetViews>
    <sheetView zoomScale="110" zoomScaleNormal="110" zoomScaleSheetLayoutView="80" workbookViewId="0">
      <selection activeCell="A30" sqref="A30"/>
    </sheetView>
  </sheetViews>
  <sheetFormatPr defaultRowHeight="15" x14ac:dyDescent="0.25"/>
  <cols>
    <col min="1" max="1" width="38" customWidth="1"/>
    <col min="2" max="2" width="11" customWidth="1"/>
    <col min="3" max="3" width="10.85546875" customWidth="1"/>
    <col min="4" max="4" width="2.85546875" bestFit="1" customWidth="1"/>
    <col min="5" max="5" width="8.42578125" customWidth="1"/>
    <col min="6" max="6" width="9" customWidth="1"/>
    <col min="7" max="7" width="4.28515625" customWidth="1"/>
    <col min="8" max="8" width="7.28515625" customWidth="1"/>
    <col min="9" max="9" width="4.140625" customWidth="1"/>
    <col min="10" max="10" width="14.5703125" customWidth="1"/>
  </cols>
  <sheetData>
    <row r="1" spans="1:20" ht="22.5" customHeight="1" x14ac:dyDescent="0.25">
      <c r="A1" s="226" t="s">
        <v>133</v>
      </c>
      <c r="B1" s="227"/>
      <c r="C1" s="228" t="s">
        <v>19</v>
      </c>
      <c r="D1" s="228"/>
      <c r="E1" s="228"/>
      <c r="F1" s="228"/>
      <c r="G1" s="229" t="str">
        <f>IF(C1=Prices!B4,TEXT(Prices!B5,"MMM-YYYY"),IF(C1=Prices!C4,TEXT(Prices!C5,"MMM-YYYY"),TEXT(Prices!#REF!,"MMM-YYYY")))</f>
        <v>(as of Dec. 5th, 2016)</v>
      </c>
      <c r="H1" s="229"/>
      <c r="I1" s="229"/>
      <c r="J1" s="229"/>
      <c r="K1" s="69"/>
      <c r="L1" s="20"/>
      <c r="M1" s="20"/>
      <c r="N1" s="20"/>
    </row>
    <row r="2" spans="1:20" x14ac:dyDescent="0.25">
      <c r="A2" s="18"/>
      <c r="B2" s="19"/>
      <c r="C2" s="20"/>
      <c r="D2" s="21"/>
      <c r="E2" s="20"/>
      <c r="F2" s="20"/>
      <c r="G2" s="21"/>
      <c r="H2" s="21"/>
      <c r="I2" s="21"/>
      <c r="J2" s="20"/>
      <c r="K2" s="20"/>
      <c r="L2" s="70" t="s">
        <v>101</v>
      </c>
      <c r="M2" s="71"/>
      <c r="N2" s="71"/>
      <c r="O2" s="71"/>
      <c r="P2" s="71"/>
      <c r="Q2" s="71"/>
      <c r="R2" s="71"/>
      <c r="S2" s="71"/>
      <c r="T2" s="71"/>
    </row>
    <row r="3" spans="1:20" x14ac:dyDescent="0.25">
      <c r="A3" s="9" t="s">
        <v>2</v>
      </c>
      <c r="D3" s="10"/>
      <c r="G3" s="10"/>
      <c r="H3" s="126"/>
      <c r="I3" s="10"/>
      <c r="K3" s="20"/>
      <c r="L3" s="20"/>
      <c r="M3" s="20"/>
      <c r="N3" s="20"/>
    </row>
    <row r="4" spans="1:20" x14ac:dyDescent="0.25">
      <c r="A4" t="s">
        <v>117</v>
      </c>
      <c r="B4" s="108">
        <v>1.8</v>
      </c>
      <c r="D4" s="126"/>
      <c r="G4" s="126"/>
      <c r="H4" s="126"/>
      <c r="I4" s="126"/>
      <c r="K4" s="20"/>
      <c r="L4" s="20"/>
      <c r="M4" s="20"/>
      <c r="N4" s="20"/>
    </row>
    <row r="5" spans="1:20" x14ac:dyDescent="0.25">
      <c r="A5" t="s">
        <v>118</v>
      </c>
      <c r="B5" s="108">
        <v>0.15</v>
      </c>
      <c r="D5" s="10"/>
      <c r="G5" s="10"/>
      <c r="H5" s="126"/>
      <c r="I5" s="10"/>
      <c r="K5" s="20"/>
      <c r="L5" s="20"/>
      <c r="M5" s="20"/>
      <c r="N5" s="20"/>
    </row>
    <row r="6" spans="1:20" x14ac:dyDescent="0.25">
      <c r="B6" s="3"/>
      <c r="D6" s="10"/>
      <c r="G6" s="10"/>
      <c r="H6" s="126"/>
      <c r="I6" s="10"/>
      <c r="K6" s="20"/>
      <c r="L6" s="20"/>
      <c r="M6" s="20"/>
      <c r="N6" s="20"/>
    </row>
    <row r="7" spans="1:20" ht="30" x14ac:dyDescent="0.25">
      <c r="A7" s="14" t="s">
        <v>0</v>
      </c>
      <c r="B7" s="14" t="s">
        <v>3</v>
      </c>
      <c r="C7" s="14" t="s">
        <v>4</v>
      </c>
      <c r="D7" s="14"/>
      <c r="E7" s="14" t="s">
        <v>121</v>
      </c>
      <c r="F7" s="14" t="s">
        <v>4</v>
      </c>
      <c r="G7" s="14"/>
      <c r="H7" s="14"/>
      <c r="I7" s="14"/>
      <c r="J7" s="14" t="s">
        <v>120</v>
      </c>
      <c r="K7" s="20"/>
      <c r="L7" s="20"/>
      <c r="M7" s="20"/>
      <c r="N7" s="20"/>
    </row>
    <row r="8" spans="1:20" x14ac:dyDescent="0.25">
      <c r="A8" t="s">
        <v>141</v>
      </c>
      <c r="B8" s="118">
        <f>IF(C1=Prices!A1,Prices!B15,IF(C1=Prices!A2,Prices!C15,""))</f>
        <v>145.47</v>
      </c>
      <c r="C8" s="6" t="s">
        <v>41</v>
      </c>
      <c r="D8" s="154" t="s">
        <v>6</v>
      </c>
      <c r="E8" s="192">
        <v>130</v>
      </c>
      <c r="F8" s="6" t="s">
        <v>130</v>
      </c>
      <c r="G8" s="154" t="s">
        <v>6</v>
      </c>
      <c r="H8" s="56">
        <f>B4-IF(B21=0,B5,0)</f>
        <v>1.6500000000000001</v>
      </c>
      <c r="I8" s="11" t="s">
        <v>7</v>
      </c>
      <c r="J8" s="140">
        <f>B8*(E8/100)*H8</f>
        <v>312.03315000000003</v>
      </c>
      <c r="K8" s="20"/>
      <c r="L8" s="20"/>
      <c r="M8" s="20"/>
      <c r="N8" s="20"/>
    </row>
    <row r="9" spans="1:20" x14ac:dyDescent="0.25">
      <c r="A9" t="s">
        <v>119</v>
      </c>
      <c r="B9" s="118">
        <f>IF(C1=Prices!A1, Prices!B16, IF(C1=Prices!A2, Prices!C16, ""))</f>
        <v>46.82</v>
      </c>
      <c r="C9" s="6" t="s">
        <v>41</v>
      </c>
      <c r="D9" s="10" t="s">
        <v>6</v>
      </c>
      <c r="E9" s="192">
        <v>150</v>
      </c>
      <c r="F9" s="6" t="s">
        <v>130</v>
      </c>
      <c r="G9" s="126" t="s">
        <v>6</v>
      </c>
      <c r="H9" s="56">
        <f>B5</f>
        <v>0.15</v>
      </c>
      <c r="I9" s="11" t="s">
        <v>7</v>
      </c>
      <c r="J9" s="140">
        <f>B9*(E9/100)*H9</f>
        <v>10.5345</v>
      </c>
      <c r="K9" s="20"/>
      <c r="L9" s="20"/>
      <c r="M9" s="20"/>
      <c r="N9" s="20"/>
    </row>
    <row r="10" spans="1:20" x14ac:dyDescent="0.25">
      <c r="A10" t="s">
        <v>112</v>
      </c>
      <c r="B10" s="1"/>
      <c r="C10" s="6"/>
      <c r="D10" s="10"/>
      <c r="E10" s="3"/>
      <c r="F10" s="6"/>
      <c r="G10" s="10"/>
      <c r="H10" s="56"/>
      <c r="I10" s="11"/>
      <c r="J10" s="143">
        <v>0</v>
      </c>
      <c r="K10" s="20"/>
      <c r="L10" s="20"/>
      <c r="M10" s="20"/>
      <c r="N10" s="20"/>
    </row>
    <row r="11" spans="1:20" x14ac:dyDescent="0.25">
      <c r="B11" s="1"/>
      <c r="C11" s="6"/>
      <c r="D11" s="126"/>
      <c r="E11" s="3"/>
      <c r="F11" s="6"/>
      <c r="G11" s="126"/>
      <c r="H11" s="126"/>
      <c r="I11" s="11"/>
      <c r="J11" s="144"/>
      <c r="K11" s="20"/>
      <c r="L11" s="20"/>
      <c r="M11" s="20"/>
      <c r="N11" s="20"/>
    </row>
    <row r="12" spans="1:20" x14ac:dyDescent="0.25">
      <c r="A12" s="17" t="s">
        <v>8</v>
      </c>
      <c r="B12" s="12"/>
      <c r="C12" s="12"/>
      <c r="D12" s="13"/>
      <c r="E12" s="12"/>
      <c r="F12" s="12"/>
      <c r="G12" s="13"/>
      <c r="H12" s="13"/>
      <c r="I12" s="13"/>
      <c r="J12" s="145">
        <f>SUM(J8:J10)</f>
        <v>322.56765000000001</v>
      </c>
      <c r="K12" s="20"/>
      <c r="L12" s="20"/>
      <c r="M12" s="20"/>
      <c r="N12" s="20"/>
    </row>
    <row r="13" spans="1:20" x14ac:dyDescent="0.25">
      <c r="A13" s="7"/>
      <c r="D13" s="10"/>
      <c r="G13" s="10"/>
      <c r="H13" s="126"/>
      <c r="I13" s="10"/>
      <c r="J13" s="133"/>
      <c r="K13" s="20"/>
      <c r="L13" s="20"/>
      <c r="M13" s="20"/>
      <c r="N13" s="20"/>
    </row>
    <row r="14" spans="1:20" x14ac:dyDescent="0.25">
      <c r="A14" s="14" t="s">
        <v>11</v>
      </c>
      <c r="B14" s="12"/>
      <c r="C14" s="12"/>
      <c r="D14" s="13"/>
      <c r="E14" s="12"/>
      <c r="F14" s="12"/>
      <c r="G14" s="13"/>
      <c r="H14" s="13"/>
      <c r="I14" s="13"/>
      <c r="J14" s="146"/>
      <c r="L14" s="20"/>
      <c r="M14" s="20"/>
      <c r="N14" s="20"/>
    </row>
    <row r="15" spans="1:20" x14ac:dyDescent="0.25">
      <c r="A15" s="130" t="s">
        <v>22</v>
      </c>
      <c r="B15" s="193">
        <f>IF(C1=Prices!A1, Prices!B12, IF(C1=Prices!A2, Prices!C12, ""))</f>
        <v>19.760000000000002</v>
      </c>
      <c r="C15" s="80" t="s">
        <v>25</v>
      </c>
      <c r="D15" s="128" t="s">
        <v>6</v>
      </c>
      <c r="E15" s="196">
        <f>Feed!C5</f>
        <v>1</v>
      </c>
      <c r="F15" s="6" t="s">
        <v>67</v>
      </c>
      <c r="G15" s="127"/>
      <c r="H15" s="127"/>
      <c r="I15" s="127" t="s">
        <v>46</v>
      </c>
      <c r="J15" s="197">
        <f>B15*E15</f>
        <v>19.760000000000002</v>
      </c>
      <c r="L15" s="20"/>
      <c r="M15" s="20"/>
      <c r="N15" s="20"/>
    </row>
    <row r="16" spans="1:20" x14ac:dyDescent="0.25">
      <c r="A16" s="130" t="s">
        <v>23</v>
      </c>
      <c r="B16" s="194">
        <f>IF(C1=Prices!A1,(((Feed!C8/Feed!C9)*Prices!B10)+((Feed!C6/Feed!C9)*Prices!B9)+((Feed!C7/Feed!C9)*Prices!B11)),IF(C1=Prices!A2,(((Feed!C8/Feed!C9)*Prices!C10)+((Feed!C6/Feed!C9)*Prices!C9)+((Feed!C7/Feed!C9)*Prices!C11)),""))</f>
        <v>54.219713563605723</v>
      </c>
      <c r="C16" s="80" t="s">
        <v>26</v>
      </c>
      <c r="D16" s="128" t="s">
        <v>6</v>
      </c>
      <c r="E16" s="196">
        <f>Feed!C9</f>
        <v>1187</v>
      </c>
      <c r="F16" s="80" t="s">
        <v>69</v>
      </c>
      <c r="G16" s="125"/>
      <c r="H16" s="125"/>
      <c r="I16" s="131" t="s">
        <v>46</v>
      </c>
      <c r="J16" s="197">
        <f>B16*E16/2000</f>
        <v>32.179400000000001</v>
      </c>
      <c r="L16" s="20"/>
      <c r="M16" s="20"/>
      <c r="N16" s="20"/>
    </row>
    <row r="17" spans="1:14" x14ac:dyDescent="0.25">
      <c r="A17" s="130" t="s">
        <v>28</v>
      </c>
      <c r="B17" s="194">
        <f>IF(C1=Prices!A1,(((Feed!C10/Feed!C12)*(Prices!B7*2000/100))+((Feed!C11/Feed!C12)*Prices!B6)),IF(C1=Prices!A2,(((Feed!C10/Feed!C12)*(Prices!C7*2000/100))+((Feed!C11/Feed!C12)*Prices!C6)),""))</f>
        <v>110.375</v>
      </c>
      <c r="C17" s="80" t="s">
        <v>26</v>
      </c>
      <c r="D17" s="127" t="s">
        <v>138</v>
      </c>
      <c r="E17" s="196">
        <f>Feed!C12</f>
        <v>672</v>
      </c>
      <c r="F17" s="80" t="s">
        <v>69</v>
      </c>
      <c r="G17" s="127"/>
      <c r="H17" s="127"/>
      <c r="I17" s="131" t="s">
        <v>46</v>
      </c>
      <c r="J17" s="198">
        <f>B17*E17/2000</f>
        <v>37.085999999999999</v>
      </c>
      <c r="L17" s="20"/>
      <c r="M17" s="20"/>
      <c r="N17" s="20"/>
    </row>
    <row r="18" spans="1:14" x14ac:dyDescent="0.25">
      <c r="A18" s="130" t="s">
        <v>27</v>
      </c>
      <c r="B18" s="195">
        <f>IF(C1=Prices!A1,Prices!B13, IF(C1=Prices!A2,Prices!C13, ""))</f>
        <v>0.5</v>
      </c>
      <c r="C18" s="138" t="s">
        <v>26</v>
      </c>
      <c r="D18" s="127" t="s">
        <v>138</v>
      </c>
      <c r="E18" s="196">
        <f>Feed!C13</f>
        <v>19</v>
      </c>
      <c r="F18" s="80" t="s">
        <v>69</v>
      </c>
      <c r="G18" s="127"/>
      <c r="H18" s="127"/>
      <c r="I18" s="131" t="s">
        <v>46</v>
      </c>
      <c r="J18" s="197">
        <f>B18*E18/2000</f>
        <v>4.7499999999999999E-3</v>
      </c>
      <c r="L18" s="20"/>
      <c r="M18" s="20"/>
      <c r="N18" s="20"/>
    </row>
    <row r="19" spans="1:14" x14ac:dyDescent="0.25">
      <c r="A19" s="130" t="s">
        <v>113</v>
      </c>
      <c r="B19" s="109">
        <v>0</v>
      </c>
      <c r="C19" s="80" t="s">
        <v>114</v>
      </c>
      <c r="D19" s="131" t="s">
        <v>138</v>
      </c>
      <c r="E19" s="111">
        <v>0</v>
      </c>
      <c r="F19" s="80" t="s">
        <v>115</v>
      </c>
      <c r="G19" s="131"/>
      <c r="H19" s="131"/>
      <c r="I19" s="131" t="s">
        <v>46</v>
      </c>
      <c r="J19" s="199">
        <f>B19*E19</f>
        <v>0</v>
      </c>
      <c r="L19" s="20"/>
      <c r="M19" s="20"/>
      <c r="N19" s="20"/>
    </row>
    <row r="20" spans="1:14" x14ac:dyDescent="0.25">
      <c r="A20" t="s">
        <v>29</v>
      </c>
      <c r="B20" s="109">
        <v>20</v>
      </c>
      <c r="C20" s="6" t="s">
        <v>57</v>
      </c>
      <c r="D20" s="125" t="s">
        <v>45</v>
      </c>
      <c r="E20" s="111">
        <v>4.2</v>
      </c>
      <c r="F20" s="6" t="s">
        <v>84</v>
      </c>
      <c r="G20" s="125"/>
      <c r="H20" s="125"/>
      <c r="I20" s="131" t="s">
        <v>46</v>
      </c>
      <c r="J20" s="199">
        <f>B20*E20</f>
        <v>84</v>
      </c>
      <c r="L20" s="20"/>
      <c r="M20" s="20"/>
      <c r="N20" s="20"/>
    </row>
    <row r="21" spans="1:14" x14ac:dyDescent="0.25">
      <c r="A21" s="152" t="s">
        <v>139</v>
      </c>
      <c r="B21" s="97">
        <v>0</v>
      </c>
      <c r="C21" s="6" t="s">
        <v>165</v>
      </c>
      <c r="D21" s="151" t="s">
        <v>45</v>
      </c>
      <c r="E21" s="153">
        <f>B5</f>
        <v>0.15</v>
      </c>
      <c r="F21" s="6" t="s">
        <v>140</v>
      </c>
      <c r="G21" s="151"/>
      <c r="H21" s="151"/>
      <c r="I21" s="151"/>
      <c r="J21" s="199">
        <f>E21*B21</f>
        <v>0</v>
      </c>
      <c r="L21" s="20"/>
      <c r="M21" s="20"/>
      <c r="N21" s="20"/>
    </row>
    <row r="22" spans="1:14" x14ac:dyDescent="0.25">
      <c r="A22" s="152" t="s">
        <v>166</v>
      </c>
      <c r="C22" s="6"/>
      <c r="D22" s="151"/>
      <c r="E22" s="153"/>
      <c r="F22" s="6"/>
      <c r="G22" s="151"/>
      <c r="H22" s="151"/>
      <c r="I22" s="151"/>
      <c r="J22" s="141">
        <f>(550-65)/5*2.5%</f>
        <v>2.4250000000000003</v>
      </c>
      <c r="L22" s="20"/>
      <c r="M22" s="20"/>
      <c r="N22" s="20"/>
    </row>
    <row r="23" spans="1:14" x14ac:dyDescent="0.25">
      <c r="A23" t="s">
        <v>30</v>
      </c>
      <c r="B23" s="139"/>
      <c r="C23" s="6"/>
      <c r="D23" s="125"/>
      <c r="E23" s="29"/>
      <c r="F23" s="29"/>
      <c r="G23" s="125"/>
      <c r="H23" s="125"/>
      <c r="I23" s="125"/>
      <c r="J23" s="141">
        <v>6</v>
      </c>
      <c r="L23" s="20"/>
      <c r="M23" s="20"/>
      <c r="N23" s="20"/>
    </row>
    <row r="24" spans="1:14" x14ac:dyDescent="0.25">
      <c r="A24" t="s">
        <v>103</v>
      </c>
      <c r="B24" s="139"/>
      <c r="C24" s="6"/>
      <c r="D24" s="125"/>
      <c r="E24" s="29"/>
      <c r="F24" s="29"/>
      <c r="G24" s="125"/>
      <c r="H24" s="125"/>
      <c r="I24" s="125"/>
      <c r="J24" s="141">
        <v>4</v>
      </c>
      <c r="L24" s="20"/>
      <c r="M24" s="20"/>
      <c r="N24" s="20"/>
    </row>
    <row r="25" spans="1:14" x14ac:dyDescent="0.25">
      <c r="A25" t="s">
        <v>122</v>
      </c>
      <c r="B25" s="109"/>
      <c r="C25" s="6"/>
      <c r="D25" s="125"/>
      <c r="E25" s="29"/>
      <c r="F25" s="29"/>
      <c r="G25" s="125"/>
      <c r="H25" s="125"/>
      <c r="I25" s="131"/>
      <c r="J25" s="143">
        <v>5</v>
      </c>
      <c r="L25" s="20"/>
      <c r="M25" s="20"/>
      <c r="N25" s="20"/>
    </row>
    <row r="26" spans="1:14" x14ac:dyDescent="0.25">
      <c r="A26" t="s">
        <v>31</v>
      </c>
      <c r="B26" s="135"/>
      <c r="C26" s="6"/>
      <c r="D26" s="125"/>
      <c r="E26" s="29"/>
      <c r="F26" s="29"/>
      <c r="G26" s="125"/>
      <c r="H26" s="125"/>
      <c r="I26" s="125"/>
      <c r="J26" s="141">
        <v>6.5</v>
      </c>
      <c r="L26" s="20"/>
      <c r="M26" s="20"/>
      <c r="N26" s="20"/>
    </row>
    <row r="27" spans="1:14" x14ac:dyDescent="0.25">
      <c r="A27" t="s">
        <v>59</v>
      </c>
      <c r="B27" s="135"/>
      <c r="C27" s="6"/>
      <c r="D27" s="125"/>
      <c r="E27" s="29"/>
      <c r="F27" s="29"/>
      <c r="G27" s="125"/>
      <c r="H27" s="125"/>
      <c r="I27" s="125"/>
      <c r="J27" s="141">
        <v>6</v>
      </c>
      <c r="L27" s="20"/>
      <c r="M27" s="20"/>
      <c r="N27" s="20"/>
    </row>
    <row r="28" spans="1:14" x14ac:dyDescent="0.25">
      <c r="A28" s="29" t="s">
        <v>123</v>
      </c>
      <c r="B28" s="135"/>
      <c r="C28" s="29"/>
      <c r="D28" s="125"/>
      <c r="E28" s="29"/>
      <c r="F28" s="29"/>
      <c r="G28" s="125"/>
      <c r="H28" s="125"/>
      <c r="I28" s="125"/>
      <c r="J28" s="141">
        <v>0</v>
      </c>
      <c r="L28" s="20"/>
      <c r="M28" s="20"/>
      <c r="N28" s="20"/>
    </row>
    <row r="29" spans="1:14" x14ac:dyDescent="0.25">
      <c r="A29" s="12" t="s">
        <v>111</v>
      </c>
      <c r="B29" s="136"/>
      <c r="C29" s="12"/>
      <c r="D29" s="13"/>
      <c r="E29" s="12"/>
      <c r="F29" s="12"/>
      <c r="G29" s="13"/>
      <c r="H29" s="13"/>
      <c r="I29" s="13"/>
      <c r="J29" s="142">
        <v>8.5</v>
      </c>
      <c r="L29" s="20"/>
      <c r="M29" s="20"/>
      <c r="N29" s="20"/>
    </row>
    <row r="30" spans="1:14" x14ac:dyDescent="0.25">
      <c r="A30" s="7" t="s">
        <v>15</v>
      </c>
      <c r="B30" s="29"/>
      <c r="C30" s="29"/>
      <c r="D30" s="125"/>
      <c r="E30" s="29"/>
      <c r="F30" s="29"/>
      <c r="G30" s="125"/>
      <c r="H30" s="125"/>
      <c r="I30" s="125"/>
      <c r="J30" s="147">
        <f>SUM(J15:J29)</f>
        <v>211.45515</v>
      </c>
      <c r="L30" s="20"/>
      <c r="M30" s="20"/>
      <c r="N30" s="20"/>
    </row>
    <row r="31" spans="1:14" x14ac:dyDescent="0.25">
      <c r="A31" s="7"/>
      <c r="B31" s="29"/>
      <c r="C31" s="29"/>
      <c r="D31" s="131"/>
      <c r="E31" s="29"/>
      <c r="F31" s="29"/>
      <c r="G31" s="131"/>
      <c r="H31" s="131"/>
      <c r="I31" s="131"/>
      <c r="J31" s="148"/>
      <c r="L31" s="20"/>
      <c r="M31" s="20"/>
      <c r="N31" s="20"/>
    </row>
    <row r="32" spans="1:14" x14ac:dyDescent="0.25">
      <c r="A32" s="14" t="s">
        <v>12</v>
      </c>
      <c r="B32" s="12"/>
      <c r="C32" s="12"/>
      <c r="D32" s="13"/>
      <c r="E32" s="12"/>
      <c r="F32" s="12"/>
      <c r="G32" s="13"/>
      <c r="H32" s="13"/>
      <c r="I32" s="13"/>
      <c r="J32" s="146"/>
      <c r="K32" s="20"/>
      <c r="L32" s="20"/>
      <c r="M32" s="20"/>
      <c r="N32" s="20"/>
    </row>
    <row r="33" spans="1:17" x14ac:dyDescent="0.25">
      <c r="A33" t="s">
        <v>134</v>
      </c>
      <c r="D33" s="10"/>
      <c r="G33" s="10"/>
      <c r="H33" s="126"/>
      <c r="I33" s="10"/>
      <c r="J33" s="141">
        <v>15</v>
      </c>
      <c r="K33" s="20"/>
      <c r="L33" s="20"/>
      <c r="M33" s="20"/>
      <c r="N33" s="20"/>
    </row>
    <row r="34" spans="1:17" x14ac:dyDescent="0.25">
      <c r="A34" t="s">
        <v>135</v>
      </c>
      <c r="D34" s="132"/>
      <c r="G34" s="132"/>
      <c r="H34" s="132"/>
      <c r="I34" s="132"/>
      <c r="J34" s="141">
        <v>1</v>
      </c>
      <c r="K34" s="20"/>
      <c r="L34" s="20"/>
      <c r="M34" s="20"/>
      <c r="N34" s="20"/>
    </row>
    <row r="35" spans="1:17" x14ac:dyDescent="0.25">
      <c r="A35" t="s">
        <v>136</v>
      </c>
      <c r="D35" s="10"/>
      <c r="G35" s="10"/>
      <c r="H35" s="126"/>
      <c r="I35" s="10"/>
      <c r="J35" s="141">
        <v>5</v>
      </c>
      <c r="K35" s="20"/>
      <c r="L35" s="20"/>
      <c r="M35" s="20"/>
      <c r="N35" s="20"/>
    </row>
    <row r="36" spans="1:17" x14ac:dyDescent="0.25">
      <c r="A36" t="s">
        <v>137</v>
      </c>
      <c r="D36" s="128"/>
      <c r="G36" s="128"/>
      <c r="H36" s="128"/>
      <c r="I36" s="128"/>
      <c r="J36" s="141">
        <v>17</v>
      </c>
      <c r="K36" s="50"/>
      <c r="L36" s="20"/>
      <c r="M36" s="20"/>
      <c r="N36" s="20"/>
    </row>
    <row r="37" spans="1:17" x14ac:dyDescent="0.25">
      <c r="A37" s="51" t="s">
        <v>124</v>
      </c>
      <c r="B37" s="12"/>
      <c r="C37" s="12"/>
      <c r="D37" s="13"/>
      <c r="E37" s="12"/>
      <c r="F37" s="12"/>
      <c r="G37" s="13"/>
      <c r="H37" s="13"/>
      <c r="I37" s="13"/>
      <c r="J37" s="142">
        <v>0</v>
      </c>
      <c r="K37" s="50"/>
      <c r="L37" s="20"/>
      <c r="M37" s="20"/>
      <c r="N37" s="20"/>
    </row>
    <row r="38" spans="1:17" x14ac:dyDescent="0.25">
      <c r="A38" s="7" t="s">
        <v>13</v>
      </c>
      <c r="D38" s="10"/>
      <c r="G38" s="10"/>
      <c r="H38" s="126"/>
      <c r="I38" s="10"/>
      <c r="J38" s="147">
        <f>SUM(J33:J37)</f>
        <v>38</v>
      </c>
      <c r="K38" s="20"/>
      <c r="L38" s="20"/>
      <c r="M38" s="20"/>
      <c r="N38" s="20"/>
    </row>
    <row r="39" spans="1:17" ht="15" customHeight="1" x14ac:dyDescent="0.25">
      <c r="D39" s="10"/>
      <c r="G39" s="10"/>
      <c r="H39" s="126"/>
      <c r="I39" s="10"/>
      <c r="J39" s="140"/>
      <c r="K39" s="20"/>
      <c r="L39" s="20"/>
      <c r="M39" s="20"/>
      <c r="N39" s="20"/>
    </row>
    <row r="40" spans="1:17" x14ac:dyDescent="0.25">
      <c r="A40" s="14" t="s">
        <v>14</v>
      </c>
      <c r="B40" s="12"/>
      <c r="C40" s="12"/>
      <c r="D40" s="13"/>
      <c r="E40" s="12"/>
      <c r="F40" s="12"/>
      <c r="G40" s="13"/>
      <c r="H40" s="13"/>
      <c r="I40" s="13"/>
      <c r="J40" s="145">
        <f>J30+J38</f>
        <v>249.45515</v>
      </c>
      <c r="K40" s="20"/>
      <c r="L40" s="20"/>
      <c r="M40" s="20"/>
      <c r="N40" s="20"/>
    </row>
    <row r="41" spans="1:17" x14ac:dyDescent="0.25">
      <c r="A41" s="28"/>
      <c r="B41" s="29"/>
      <c r="C41" s="29"/>
      <c r="D41" s="30"/>
      <c r="E41" s="29"/>
      <c r="F41" s="29"/>
      <c r="G41" s="30"/>
      <c r="H41" s="125"/>
      <c r="I41" s="30"/>
      <c r="J41" s="149"/>
    </row>
    <row r="42" spans="1:17" x14ac:dyDescent="0.25">
      <c r="A42" t="s">
        <v>34</v>
      </c>
      <c r="D42" s="10"/>
      <c r="G42" s="10"/>
      <c r="H42" s="126"/>
      <c r="I42" s="10"/>
      <c r="J42" s="140">
        <f>J12-J30</f>
        <v>111.11250000000001</v>
      </c>
      <c r="Q42" s="29"/>
    </row>
    <row r="43" spans="1:17" ht="15.75" thickBot="1" x14ac:dyDescent="0.3">
      <c r="A43" s="2" t="s">
        <v>16</v>
      </c>
      <c r="D43" s="10"/>
      <c r="G43" s="10"/>
      <c r="H43" s="126"/>
      <c r="I43" s="10"/>
      <c r="J43" s="150">
        <f>J12-J40</f>
        <v>73.112500000000011</v>
      </c>
      <c r="Q43" s="29"/>
    </row>
    <row r="44" spans="1:17" ht="10.5" customHeight="1" thickTop="1" x14ac:dyDescent="0.25"/>
    <row r="45" spans="1:17" ht="11.25" customHeight="1" x14ac:dyDescent="0.25">
      <c r="A45" s="28"/>
      <c r="B45" s="29"/>
      <c r="C45" s="29"/>
      <c r="D45" s="30"/>
      <c r="E45" s="29"/>
      <c r="F45" s="29"/>
      <c r="G45" s="30"/>
      <c r="H45" s="125"/>
      <c r="I45" s="30"/>
      <c r="J45" s="16"/>
    </row>
    <row r="46" spans="1:17" ht="15" customHeight="1" x14ac:dyDescent="0.25">
      <c r="A46" s="224" t="s">
        <v>42</v>
      </c>
      <c r="B46" s="224"/>
      <c r="C46" s="224"/>
      <c r="D46" s="224"/>
      <c r="E46" s="224"/>
      <c r="F46" s="224"/>
      <c r="G46" s="224"/>
      <c r="H46" s="224"/>
      <c r="I46" s="224"/>
      <c r="J46" s="224"/>
    </row>
    <row r="47" spans="1:17" ht="16.5" customHeight="1" x14ac:dyDescent="0.25">
      <c r="A47" s="32" t="s">
        <v>132</v>
      </c>
      <c r="B47" s="32"/>
      <c r="C47" s="32"/>
      <c r="D47" s="32"/>
      <c r="E47" s="32"/>
      <c r="F47" s="32"/>
      <c r="G47" s="32"/>
      <c r="H47" s="32"/>
      <c r="I47" s="217" t="str">
        <f>Introduction!L8</f>
        <v>Version- 12.8.2016</v>
      </c>
      <c r="J47" s="217"/>
    </row>
    <row r="48" spans="1:17" ht="22.5" customHeight="1" x14ac:dyDescent="0.25">
      <c r="B48" s="35"/>
    </row>
    <row r="49" spans="1:10" ht="27" customHeight="1" thickBot="1" x14ac:dyDescent="0.35">
      <c r="A49" s="219" t="s">
        <v>133</v>
      </c>
      <c r="B49" s="220"/>
      <c r="C49" s="221"/>
      <c r="D49" s="221"/>
      <c r="E49" s="221"/>
      <c r="F49" s="221"/>
      <c r="G49" s="222"/>
      <c r="H49" s="222"/>
      <c r="I49" s="222"/>
      <c r="J49" s="222"/>
    </row>
    <row r="91" spans="1:10" ht="12.75" customHeight="1" x14ac:dyDescent="0.25"/>
    <row r="92" spans="1:10" ht="17.25" customHeight="1" x14ac:dyDescent="0.25"/>
    <row r="93" spans="1:10" ht="15" customHeight="1" x14ac:dyDescent="0.25">
      <c r="A93" s="224" t="s">
        <v>42</v>
      </c>
      <c r="B93" s="224"/>
      <c r="C93" s="224"/>
      <c r="D93" s="224"/>
      <c r="E93" s="224"/>
      <c r="F93" s="224"/>
      <c r="G93" s="224"/>
      <c r="H93" s="224"/>
      <c r="I93" s="224"/>
      <c r="J93" s="224"/>
    </row>
    <row r="94" spans="1:10" ht="16.5" customHeight="1" x14ac:dyDescent="0.25">
      <c r="A94" s="32" t="str">
        <f>A47</f>
        <v>Publication: AM-FMG-Once-a-Year Lambing</v>
      </c>
      <c r="B94" s="32"/>
      <c r="C94" s="32"/>
      <c r="D94" s="32"/>
      <c r="E94" s="32"/>
      <c r="F94" s="32"/>
      <c r="G94" s="32"/>
      <c r="H94" s="32"/>
      <c r="I94" s="217" t="str">
        <f>I47</f>
        <v>Version- 12.8.2016</v>
      </c>
      <c r="J94" s="217"/>
    </row>
    <row r="95" spans="1:10" ht="22.5" customHeight="1" x14ac:dyDescent="0.25">
      <c r="A95" s="61"/>
      <c r="B95" s="61"/>
      <c r="C95" s="61"/>
      <c r="D95" s="61"/>
      <c r="E95" s="61"/>
      <c r="F95" s="61"/>
      <c r="G95" s="61"/>
      <c r="H95" s="61"/>
      <c r="I95" s="61"/>
      <c r="J95" s="61"/>
    </row>
    <row r="96" spans="1:10" ht="27" customHeight="1" thickBot="1" x14ac:dyDescent="0.35">
      <c r="A96" s="219" t="s">
        <v>127</v>
      </c>
      <c r="B96" s="220"/>
      <c r="C96" s="221"/>
      <c r="D96" s="221"/>
      <c r="E96" s="221"/>
      <c r="F96" s="221"/>
      <c r="G96" s="222"/>
      <c r="H96" s="222"/>
      <c r="I96" s="222"/>
      <c r="J96" s="222"/>
    </row>
    <row r="97" spans="1:5" ht="15.75" x14ac:dyDescent="0.25">
      <c r="A97" s="62" t="s">
        <v>85</v>
      </c>
    </row>
    <row r="99" spans="1:5" ht="15.75" thickBot="1" x14ac:dyDescent="0.3">
      <c r="A99" s="47" t="s">
        <v>125</v>
      </c>
      <c r="B99" s="46" t="s">
        <v>131</v>
      </c>
      <c r="C99" s="46"/>
      <c r="D99" s="46"/>
      <c r="E99" s="46"/>
    </row>
    <row r="100" spans="1:5" x14ac:dyDescent="0.25">
      <c r="A100" s="28"/>
      <c r="B100" s="14" t="s">
        <v>18</v>
      </c>
      <c r="C100" s="14" t="s">
        <v>4</v>
      </c>
      <c r="D100" s="29"/>
      <c r="E100" s="29"/>
    </row>
    <row r="101" spans="1:5" x14ac:dyDescent="0.25">
      <c r="A101" t="str">
        <f>Feed!B5</f>
        <v>Pasture</v>
      </c>
      <c r="B101" s="137">
        <f>Feed!C5</f>
        <v>1</v>
      </c>
      <c r="C101" s="6" t="str">
        <f>Feed!D5</f>
        <v>total acres per year</v>
      </c>
      <c r="D101" s="6"/>
    </row>
    <row r="102" spans="1:5" x14ac:dyDescent="0.25">
      <c r="A102" s="129" t="str">
        <f>Feed!B6</f>
        <v>Silage</v>
      </c>
      <c r="B102" s="137">
        <f>Feed!C6</f>
        <v>730</v>
      </c>
      <c r="C102" s="6" t="str">
        <f>Feed!D6</f>
        <v>total lbs per year</v>
      </c>
      <c r="D102" s="6"/>
    </row>
    <row r="103" spans="1:5" x14ac:dyDescent="0.25">
      <c r="A103" s="129" t="str">
        <f>Feed!B7</f>
        <v>Alfalfa</v>
      </c>
      <c r="B103" s="137">
        <f>Feed!C7</f>
        <v>457</v>
      </c>
      <c r="C103" s="6" t="str">
        <f>Feed!D7</f>
        <v>total lbs per year</v>
      </c>
      <c r="D103" s="6"/>
    </row>
    <row r="104" spans="1:5" x14ac:dyDescent="0.25">
      <c r="A104" s="129" t="str">
        <f>Feed!B8</f>
        <v>Prairie Hay</v>
      </c>
      <c r="B104" s="137">
        <f>Feed!C8</f>
        <v>0</v>
      </c>
      <c r="C104" s="6" t="str">
        <f>Feed!D8</f>
        <v>total lbs per year</v>
      </c>
      <c r="D104" s="6"/>
    </row>
    <row r="105" spans="1:5" x14ac:dyDescent="0.25">
      <c r="A105" t="str">
        <f>Feed!B9</f>
        <v>Total Harvested Forage</v>
      </c>
      <c r="B105" s="137">
        <f>Feed!C9</f>
        <v>1187</v>
      </c>
      <c r="C105" s="6" t="str">
        <f>Feed!D9</f>
        <v>total lbs per year</v>
      </c>
      <c r="D105" s="6"/>
    </row>
    <row r="106" spans="1:5" x14ac:dyDescent="0.25">
      <c r="A106" s="129" t="str">
        <f>Feed!B10</f>
        <v>Grain Sorghum</v>
      </c>
      <c r="B106" s="137">
        <f>Feed!C10</f>
        <v>630</v>
      </c>
      <c r="C106" s="6" t="str">
        <f>Feed!D10</f>
        <v>total lbs per year</v>
      </c>
      <c r="D106" s="6"/>
    </row>
    <row r="107" spans="1:5" x14ac:dyDescent="0.25">
      <c r="A107" s="129" t="str">
        <f>Feed!B11</f>
        <v>Protein Supplement</v>
      </c>
      <c r="B107" s="137">
        <f>Feed!C11</f>
        <v>42</v>
      </c>
      <c r="C107" s="6" t="str">
        <f>Feed!D11</f>
        <v>total lbs per year</v>
      </c>
      <c r="D107" s="6"/>
    </row>
    <row r="108" spans="1:5" x14ac:dyDescent="0.25">
      <c r="A108" t="str">
        <f>Feed!B12</f>
        <v>Total Grain/Protein Supplements</v>
      </c>
      <c r="B108" s="137">
        <f>Feed!C12</f>
        <v>672</v>
      </c>
      <c r="C108" s="6" t="str">
        <f>Feed!D12</f>
        <v>total lbs per year</v>
      </c>
      <c r="D108" s="6"/>
    </row>
    <row r="109" spans="1:5" x14ac:dyDescent="0.25">
      <c r="A109" t="str">
        <f>Feed!B13</f>
        <v>Mineral</v>
      </c>
      <c r="B109" s="137">
        <f>Feed!C13</f>
        <v>19</v>
      </c>
      <c r="C109" s="6" t="str">
        <f>Feed!D13</f>
        <v>total lbs per year</v>
      </c>
      <c r="D109" s="6"/>
    </row>
    <row r="110" spans="1:5" x14ac:dyDescent="0.25">
      <c r="B110" s="45"/>
      <c r="C110" s="6"/>
      <c r="D110" s="6"/>
    </row>
    <row r="113" spans="1:6" ht="15.75" thickBot="1" x14ac:dyDescent="0.3">
      <c r="A113" s="47" t="s">
        <v>162</v>
      </c>
      <c r="B113" s="46"/>
      <c r="C113" s="46"/>
      <c r="D113" s="46"/>
      <c r="E113" s="46"/>
      <c r="F113" s="46"/>
    </row>
    <row r="114" spans="1:6" ht="30" customHeight="1" x14ac:dyDescent="0.25">
      <c r="A114" s="57"/>
      <c r="B114" s="59" t="s">
        <v>86</v>
      </c>
      <c r="C114" s="223" t="s">
        <v>87</v>
      </c>
      <c r="D114" s="223"/>
    </row>
    <row r="115" spans="1:6" x14ac:dyDescent="0.25">
      <c r="A115" t="str">
        <f>Prices!A6</f>
        <v>Protein Supplement ($/ton)</v>
      </c>
      <c r="B115" s="58">
        <f>Prices!B6</f>
        <v>305</v>
      </c>
      <c r="C115" s="225">
        <f>Prices!C6</f>
        <v>304.8</v>
      </c>
      <c r="D115" s="225"/>
    </row>
    <row r="116" spans="1:6" x14ac:dyDescent="0.25">
      <c r="A116" t="str">
        <f>Prices!A7</f>
        <v>Grain Sorghum ($/cwt)</v>
      </c>
      <c r="B116" s="58">
        <f>Prices!B7</f>
        <v>4.87</v>
      </c>
      <c r="C116" s="218">
        <f>Prices!C7</f>
        <v>5.4766541471048509</v>
      </c>
      <c r="D116" s="218"/>
    </row>
    <row r="117" spans="1:6" x14ac:dyDescent="0.25">
      <c r="A117" t="str">
        <f>Prices!A9</f>
        <v>Silage ($/ton)</v>
      </c>
      <c r="B117" s="58">
        <f>Prices!B9</f>
        <v>25.56</v>
      </c>
      <c r="C117" s="218">
        <f>Prices!C9</f>
        <v>28.743999999999996</v>
      </c>
      <c r="D117" s="218"/>
    </row>
    <row r="118" spans="1:6" x14ac:dyDescent="0.25">
      <c r="A118" t="str">
        <f>Prices!A10</f>
        <v>Prairie Hay ($/ton)</v>
      </c>
      <c r="B118" s="58">
        <f>Prices!B10</f>
        <v>60</v>
      </c>
      <c r="C118" s="218">
        <f>Prices!C10</f>
        <v>67.474178403755872</v>
      </c>
      <c r="D118" s="218"/>
    </row>
    <row r="119" spans="1:6" x14ac:dyDescent="0.25">
      <c r="A119" t="str">
        <f>Prices!A11</f>
        <v>Alfalfa ($/ton)</v>
      </c>
      <c r="B119" s="58">
        <f>Prices!B11</f>
        <v>100</v>
      </c>
      <c r="C119" s="218">
        <f>Prices!C11</f>
        <v>112.45696400625977</v>
      </c>
      <c r="D119" s="218"/>
    </row>
    <row r="120" spans="1:6" x14ac:dyDescent="0.25">
      <c r="A120" t="str">
        <f>Prices!A12</f>
        <v>Pasture Rental ($/acre)</v>
      </c>
      <c r="B120" s="58">
        <f>Prices!B12</f>
        <v>19.760000000000002</v>
      </c>
      <c r="C120" s="218">
        <f>Prices!C12</f>
        <v>20.155200000000001</v>
      </c>
      <c r="D120" s="218"/>
    </row>
    <row r="121" spans="1:6" x14ac:dyDescent="0.25">
      <c r="A121" t="str">
        <f>Prices!A13</f>
        <v>Sheep Mineral ($/lb)</v>
      </c>
      <c r="B121" s="58">
        <f>Prices!B13</f>
        <v>0.5</v>
      </c>
      <c r="C121" s="218">
        <f>Prices!C13</f>
        <v>0.51</v>
      </c>
      <c r="D121" s="218"/>
    </row>
    <row r="122" spans="1:6" x14ac:dyDescent="0.25">
      <c r="A122" t="str">
        <f>Prices!A15</f>
        <v>Sept. Slaughter Lamb Price ($/cwt)</v>
      </c>
      <c r="B122" s="58">
        <f>Prices!B15</f>
        <v>145.47</v>
      </c>
      <c r="C122" s="218">
        <f>Prices!C15</f>
        <v>143.69</v>
      </c>
      <c r="D122" s="218"/>
    </row>
    <row r="123" spans="1:6" x14ac:dyDescent="0.25">
      <c r="A123" t="str">
        <f>Prices!A16</f>
        <v>Current Cull Ewe Price ($/cwt)</v>
      </c>
      <c r="B123" s="58">
        <f>Prices!B16</f>
        <v>46.82</v>
      </c>
      <c r="C123" s="218">
        <f>Prices!C16</f>
        <v>46.18</v>
      </c>
      <c r="D123" s="218"/>
    </row>
    <row r="124" spans="1:6" x14ac:dyDescent="0.25">
      <c r="B124" s="58"/>
      <c r="C124" s="60"/>
      <c r="D124" s="30"/>
      <c r="E124" s="60"/>
      <c r="F124" s="30"/>
    </row>
    <row r="125" spans="1:6" ht="18" customHeight="1" x14ac:dyDescent="0.25">
      <c r="B125" s="58"/>
      <c r="C125" s="60"/>
      <c r="D125" s="30"/>
      <c r="E125" s="60"/>
      <c r="F125" s="30"/>
    </row>
    <row r="126" spans="1:6" ht="12" customHeight="1" x14ac:dyDescent="0.25">
      <c r="B126" s="58"/>
      <c r="C126" s="60"/>
      <c r="D126" s="30"/>
      <c r="E126" s="60"/>
      <c r="F126" s="30"/>
    </row>
    <row r="127" spans="1:6" x14ac:dyDescent="0.25">
      <c r="B127" s="58"/>
      <c r="C127" s="60"/>
      <c r="D127" s="30"/>
      <c r="E127" s="60"/>
      <c r="F127" s="30"/>
    </row>
    <row r="128" spans="1:6" ht="63" customHeight="1" x14ac:dyDescent="0.25">
      <c r="B128" s="58"/>
      <c r="C128" s="60"/>
      <c r="D128" s="30"/>
      <c r="E128" s="60"/>
      <c r="F128" s="30"/>
    </row>
    <row r="129" spans="1:10" ht="15.75" customHeight="1" x14ac:dyDescent="0.25"/>
    <row r="130" spans="1:10" ht="15" customHeight="1" x14ac:dyDescent="0.25">
      <c r="A130" s="224" t="s">
        <v>42</v>
      </c>
      <c r="B130" s="224"/>
      <c r="C130" s="224"/>
      <c r="D130" s="224"/>
      <c r="E130" s="224"/>
      <c r="F130" s="224"/>
      <c r="G130" s="224"/>
      <c r="H130" s="224"/>
      <c r="I130" s="224"/>
      <c r="J130" s="224"/>
    </row>
    <row r="131" spans="1:10" ht="15.75" x14ac:dyDescent="0.25">
      <c r="A131" s="32" t="str">
        <f>A47</f>
        <v>Publication: AM-FMG-Once-a-Year Lambing</v>
      </c>
      <c r="B131" s="32"/>
      <c r="C131" s="32"/>
      <c r="D131" s="32"/>
      <c r="E131" s="32"/>
      <c r="F131" s="32"/>
      <c r="G131" s="32"/>
      <c r="H131" s="32"/>
      <c r="I131" s="217" t="str">
        <f>I94</f>
        <v>Version- 12.8.2016</v>
      </c>
      <c r="J131" s="217"/>
    </row>
  </sheetData>
  <sheetProtection algorithmName="SHA-512" hashValue="D8wTEvW3WMezB0rXGskFJw8HVMoRm8NmNOm3AJXOvysPCGrCk6cojOYRV2emyieHXJs1c9jpP7i2OfvERcSZ7w==" saltValue="/1Dt1IR3vEyZab5vN0kwqQ==" spinCount="100000" sheet="1" objects="1" scenarios="1"/>
  <dataConsolidate/>
  <mergeCells count="25">
    <mergeCell ref="A46:J46"/>
    <mergeCell ref="A1:B1"/>
    <mergeCell ref="C1:F1"/>
    <mergeCell ref="G1:J1"/>
    <mergeCell ref="A93:J93"/>
    <mergeCell ref="A49:B49"/>
    <mergeCell ref="C49:F49"/>
    <mergeCell ref="G49:J49"/>
    <mergeCell ref="I47:J47"/>
    <mergeCell ref="I94:J94"/>
    <mergeCell ref="I131:J131"/>
    <mergeCell ref="C123:D123"/>
    <mergeCell ref="C122:D122"/>
    <mergeCell ref="A96:B96"/>
    <mergeCell ref="C96:F96"/>
    <mergeCell ref="G96:J96"/>
    <mergeCell ref="C114:D114"/>
    <mergeCell ref="A130:J130"/>
    <mergeCell ref="C117:D117"/>
    <mergeCell ref="C118:D118"/>
    <mergeCell ref="C119:D119"/>
    <mergeCell ref="C120:D120"/>
    <mergeCell ref="C121:D121"/>
    <mergeCell ref="C115:D115"/>
    <mergeCell ref="C116:D116"/>
  </mergeCells>
  <pageMargins left="0.25" right="0.25" top="0.75" bottom="0.5" header="0.3" footer="0"/>
  <pageSetup scale="92" orientation="portrait" horizontalDpi="4294967295" verticalDpi="4294967295" r:id="rId1"/>
  <headerFooter scaleWithDoc="0">
    <oddHeader xml:space="preserve">&amp;L&amp;"-,Bold"&amp;20FARM MANAGEMENT GUIDE &amp;"-,Regular"        
</oddHeader>
  </headerFooter>
  <rowBreaks count="2" manualBreakCount="2">
    <brk id="48" max="9" man="1"/>
    <brk id="95" max="9" man="1"/>
  </rowBreaks>
  <ignoredErrors>
    <ignoredError sqref="E2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2" r:id="rId4" name="Button 6">
              <controlPr defaultSize="0" print="0" autoFill="0" autoPict="0" macro="[0]!PrintCowCalfBudget">
                <anchor moveWithCells="1" sizeWithCells="1">
                  <from>
                    <xdr:col>11</xdr:col>
                    <xdr:colOff>9525</xdr:colOff>
                    <xdr:row>3</xdr:row>
                    <xdr:rowOff>114300</xdr:rowOff>
                  </from>
                  <to>
                    <xdr:col>14</xdr:col>
                    <xdr:colOff>447675</xdr:colOff>
                    <xdr:row>5</xdr:row>
                    <xdr:rowOff>0</xdr:rowOff>
                  </to>
                </anchor>
              </controlPr>
            </control>
          </mc:Choice>
        </mc:AlternateContent>
        <mc:AlternateContent xmlns:mc="http://schemas.openxmlformats.org/markup-compatibility/2006">
          <mc:Choice Requires="x14">
            <control shapeId="9224" r:id="rId5" name="Button 8">
              <controlPr defaultSize="0" print="0" autoFill="0" autoPict="0" macro="[0]!PrintCowCalfPage">
                <anchor moveWithCells="1" sizeWithCells="1">
                  <from>
                    <xdr:col>11</xdr:col>
                    <xdr:colOff>9525</xdr:colOff>
                    <xdr:row>6</xdr:row>
                    <xdr:rowOff>19050</xdr:rowOff>
                  </from>
                  <to>
                    <xdr:col>14</xdr:col>
                    <xdr:colOff>438150</xdr:colOff>
                    <xdr:row>6</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prompt="Select a price horizon to budget from">
          <x14:formula1>
            <xm:f>Prices!$A$1:$A$2</xm:f>
          </x14:formula1>
          <xm:sqref>C1:F1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T136"/>
  <sheetViews>
    <sheetView topLeftCell="A13" zoomScale="110" zoomScaleNormal="110" workbookViewId="0">
      <selection activeCell="J35" sqref="J35"/>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8" width="4.42578125" customWidth="1"/>
    <col min="9" max="9" width="7.42578125" customWidth="1"/>
    <col min="10" max="10" width="14.7109375" customWidth="1"/>
  </cols>
  <sheetData>
    <row r="1" spans="1:20" ht="22.5" customHeight="1" x14ac:dyDescent="0.25">
      <c r="A1" s="226" t="s">
        <v>62</v>
      </c>
      <c r="B1" s="227"/>
      <c r="C1" s="228" t="s">
        <v>19</v>
      </c>
      <c r="D1" s="228"/>
      <c r="E1" s="228"/>
      <c r="F1" s="228"/>
      <c r="G1" s="231" t="str">
        <f>IF(C1=Prices!B4,TEXT(Prices!B5,"MMM-YYYY"),IF(C1=Prices!C4,TEXT(Prices!C5,"MMM-YYYY"),TEXT(Prices!#REF!,"MMM-YYYY")))</f>
        <v>(as of Dec. 5th, 2016)</v>
      </c>
      <c r="H1" s="231"/>
      <c r="I1" s="231"/>
      <c r="J1" s="231"/>
      <c r="K1" s="69"/>
      <c r="L1" s="20"/>
      <c r="M1" s="20"/>
      <c r="N1" s="20"/>
    </row>
    <row r="2" spans="1:20" x14ac:dyDescent="0.25">
      <c r="A2" s="18"/>
      <c r="B2" s="19"/>
      <c r="C2" s="20"/>
      <c r="D2" s="21"/>
      <c r="E2" s="20"/>
      <c r="F2" s="20"/>
      <c r="G2" s="21"/>
      <c r="H2" s="20"/>
      <c r="I2" s="21"/>
      <c r="J2" s="20"/>
      <c r="K2" s="20"/>
      <c r="L2" s="70" t="s">
        <v>101</v>
      </c>
      <c r="M2" s="71"/>
      <c r="N2" s="71"/>
      <c r="O2" s="71"/>
      <c r="P2" s="71"/>
      <c r="Q2" s="71"/>
      <c r="R2" s="71"/>
      <c r="S2" s="71"/>
      <c r="T2" s="71"/>
    </row>
    <row r="3" spans="1:20" x14ac:dyDescent="0.25">
      <c r="A3" s="9" t="s">
        <v>2</v>
      </c>
      <c r="D3" s="40"/>
      <c r="G3" s="40"/>
      <c r="I3" s="40"/>
      <c r="K3" s="20"/>
      <c r="L3" s="20"/>
      <c r="M3" s="20"/>
      <c r="N3" s="20"/>
    </row>
    <row r="4" spans="1:20" x14ac:dyDescent="0.25">
      <c r="A4" t="s">
        <v>47</v>
      </c>
      <c r="B4" s="108">
        <v>0.01</v>
      </c>
      <c r="D4" s="40"/>
      <c r="F4" s="42"/>
      <c r="G4" s="40"/>
      <c r="I4" s="235" t="s">
        <v>102</v>
      </c>
      <c r="J4" s="235"/>
      <c r="K4" s="20"/>
      <c r="L4" s="20"/>
      <c r="M4" s="20"/>
      <c r="N4" s="20"/>
    </row>
    <row r="5" spans="1:20" x14ac:dyDescent="0.25">
      <c r="A5" t="s">
        <v>106</v>
      </c>
      <c r="B5" s="111">
        <v>150</v>
      </c>
      <c r="C5" s="230" t="s">
        <v>49</v>
      </c>
      <c r="D5" s="230"/>
      <c r="E5" s="230"/>
      <c r="F5" s="114">
        <v>1.25</v>
      </c>
      <c r="G5" s="40"/>
      <c r="I5" s="40"/>
      <c r="J5" s="73" t="e">
        <f>(E9-E10)/100</f>
        <v>#REF!</v>
      </c>
      <c r="K5" s="20"/>
      <c r="L5" s="20"/>
      <c r="M5" s="20"/>
      <c r="N5" s="20"/>
    </row>
    <row r="6" spans="1:20" x14ac:dyDescent="0.25">
      <c r="B6" s="3"/>
      <c r="C6" s="230"/>
      <c r="D6" s="230"/>
      <c r="E6" s="230"/>
      <c r="F6" s="48"/>
      <c r="G6" s="66"/>
      <c r="I6" s="66"/>
      <c r="K6" s="20"/>
      <c r="L6" s="20"/>
      <c r="M6" s="20"/>
      <c r="N6" s="20"/>
    </row>
    <row r="7" spans="1:20" x14ac:dyDescent="0.25">
      <c r="D7" s="40"/>
      <c r="G7" s="40"/>
      <c r="I7" s="40"/>
      <c r="K7" s="20"/>
      <c r="L7" s="20"/>
      <c r="M7" s="20"/>
      <c r="N7" s="20"/>
    </row>
    <row r="8" spans="1:20" x14ac:dyDescent="0.25">
      <c r="A8" s="14" t="s">
        <v>64</v>
      </c>
      <c r="B8" s="14" t="s">
        <v>3</v>
      </c>
      <c r="C8" s="14" t="s">
        <v>4</v>
      </c>
      <c r="D8" s="14"/>
      <c r="E8" s="14" t="s">
        <v>18</v>
      </c>
      <c r="F8" s="14" t="s">
        <v>4</v>
      </c>
      <c r="G8" s="14"/>
      <c r="H8" s="14"/>
      <c r="I8" s="14"/>
      <c r="J8" s="14" t="s">
        <v>20</v>
      </c>
      <c r="K8" s="20"/>
      <c r="L8" s="20"/>
      <c r="M8" s="20"/>
      <c r="N8" s="20"/>
    </row>
    <row r="9" spans="1:20" x14ac:dyDescent="0.25">
      <c r="A9" t="s">
        <v>44</v>
      </c>
      <c r="B9" s="118" t="e">
        <f>(IF(C1=Prices!A1,Prices!#REF!,IF(C1=Prices!A2,Prices!#REF!,IF(C1=Prices!A3,Prices!#REF!,""))))</f>
        <v>#REF!</v>
      </c>
      <c r="C9" s="6" t="s">
        <v>41</v>
      </c>
      <c r="D9" s="40" t="s">
        <v>45</v>
      </c>
      <c r="E9" s="119" t="e">
        <f>E10+(B5*F5)</f>
        <v>#REF!</v>
      </c>
      <c r="F9" s="6" t="s">
        <v>5</v>
      </c>
      <c r="G9" s="40"/>
      <c r="H9" s="5"/>
      <c r="I9" s="11" t="s">
        <v>7</v>
      </c>
      <c r="J9" s="4" t="e">
        <f>B9*(E9/100)</f>
        <v>#REF!</v>
      </c>
      <c r="K9" s="20"/>
      <c r="L9" s="20"/>
      <c r="M9" s="20"/>
      <c r="N9" s="20"/>
      <c r="R9" s="49"/>
    </row>
    <row r="10" spans="1:20" x14ac:dyDescent="0.25">
      <c r="A10" t="s">
        <v>43</v>
      </c>
      <c r="B10" s="118">
        <f>(IF(C1=Prices!A1,Prices!B16,IF(C1=Prices!A2,Prices!C16,IF(C1=Prices!A3,Prices!#REF!,""))))</f>
        <v>46.82</v>
      </c>
      <c r="C10" s="6" t="s">
        <v>41</v>
      </c>
      <c r="D10" s="40" t="s">
        <v>45</v>
      </c>
      <c r="E10" s="110" t="e">
        <f>'Once a Year Lambing'!#REF!</f>
        <v>#REF!</v>
      </c>
      <c r="F10" s="6" t="s">
        <v>5</v>
      </c>
      <c r="G10" s="40"/>
      <c r="H10" s="5"/>
      <c r="I10" s="11" t="s">
        <v>46</v>
      </c>
      <c r="J10" s="4" t="e">
        <f>-(B10*(E10/100))</f>
        <v>#REF!</v>
      </c>
      <c r="K10" s="20"/>
      <c r="L10" s="20"/>
      <c r="M10" s="20"/>
      <c r="N10" s="20"/>
      <c r="R10" s="4"/>
      <c r="S10" s="4"/>
    </row>
    <row r="11" spans="1:20" x14ac:dyDescent="0.25">
      <c r="A11" t="s">
        <v>47</v>
      </c>
      <c r="B11" s="1"/>
      <c r="C11" s="6"/>
      <c r="D11" s="40"/>
      <c r="E11" s="31"/>
      <c r="F11" s="6"/>
      <c r="G11" s="40"/>
      <c r="H11" s="5"/>
      <c r="I11" s="11"/>
      <c r="J11" s="4" t="e">
        <f>(B4*J10)</f>
        <v>#REF!</v>
      </c>
      <c r="K11" s="20"/>
      <c r="L11" s="20"/>
      <c r="M11" s="20"/>
      <c r="N11" s="20"/>
    </row>
    <row r="12" spans="1:20" x14ac:dyDescent="0.25">
      <c r="A12" t="s">
        <v>21</v>
      </c>
      <c r="B12" s="1"/>
      <c r="C12" s="6"/>
      <c r="D12" s="40"/>
      <c r="E12" s="3"/>
      <c r="F12" s="6"/>
      <c r="G12" s="40"/>
      <c r="H12" s="5"/>
      <c r="I12" s="11"/>
      <c r="J12" s="1"/>
      <c r="K12" s="20"/>
      <c r="L12" s="20"/>
      <c r="M12" s="20"/>
      <c r="N12" s="20"/>
    </row>
    <row r="13" spans="1:20" x14ac:dyDescent="0.25">
      <c r="A13" s="17" t="s">
        <v>65</v>
      </c>
      <c r="B13" s="12"/>
      <c r="C13" s="12"/>
      <c r="D13" s="13"/>
      <c r="E13" s="12"/>
      <c r="F13" s="12"/>
      <c r="G13" s="13"/>
      <c r="H13" s="12"/>
      <c r="I13" s="13"/>
      <c r="J13" s="15" t="e">
        <f>SUM(J9:J12)</f>
        <v>#REF!</v>
      </c>
      <c r="K13" s="20"/>
      <c r="L13" s="20"/>
      <c r="M13" s="20"/>
      <c r="N13" s="20"/>
    </row>
    <row r="14" spans="1:20" x14ac:dyDescent="0.25">
      <c r="A14" s="7"/>
      <c r="D14" s="40"/>
      <c r="G14" s="40"/>
      <c r="I14" s="40"/>
      <c r="K14" s="20"/>
      <c r="L14" s="20"/>
      <c r="M14" s="20"/>
      <c r="N14" s="20"/>
    </row>
    <row r="15" spans="1:20" x14ac:dyDescent="0.25">
      <c r="A15" s="14" t="s">
        <v>11</v>
      </c>
      <c r="B15" s="12"/>
      <c r="C15" s="12"/>
      <c r="D15" s="13"/>
      <c r="E15" s="12"/>
      <c r="F15" s="12"/>
      <c r="G15" s="13"/>
      <c r="H15" s="12"/>
      <c r="I15" s="13"/>
      <c r="J15" s="12"/>
      <c r="K15" s="20"/>
      <c r="L15" s="20"/>
      <c r="M15" s="20"/>
      <c r="N15" s="20"/>
    </row>
    <row r="16" spans="1:20" x14ac:dyDescent="0.25">
      <c r="A16" t="s">
        <v>22</v>
      </c>
      <c r="B16" s="118">
        <f>IF(C1=Prices!A1, Prices!B12, IF(C1=Prices!A2, Prices!C12, IF(C1=Prices!A3,Prices!#REF!, "")))</f>
        <v>19.760000000000002</v>
      </c>
      <c r="C16" s="6" t="s">
        <v>25</v>
      </c>
      <c r="D16" s="40" t="s">
        <v>45</v>
      </c>
      <c r="E16" s="45">
        <f>Feed!I5</f>
        <v>4</v>
      </c>
      <c r="F16" s="6" t="s">
        <v>67</v>
      </c>
      <c r="G16" s="40"/>
      <c r="H16" s="5"/>
      <c r="I16" s="11" t="s">
        <v>7</v>
      </c>
      <c r="J16" s="118">
        <f>B16*E16</f>
        <v>79.040000000000006</v>
      </c>
      <c r="K16" s="20"/>
      <c r="L16" s="20"/>
      <c r="M16" s="20"/>
      <c r="N16" s="20"/>
    </row>
    <row r="17" spans="1:14" x14ac:dyDescent="0.25">
      <c r="A17" t="s">
        <v>24</v>
      </c>
      <c r="B17" s="118" t="e">
        <f>IF(C1=Prices!A1, Prices!#REF!, IF(C1=Prices!A2, Prices!#REF!, IF(C1=Prices!A3,Prices!#REF!, "")))</f>
        <v>#REF!</v>
      </c>
      <c r="C17" s="6" t="s">
        <v>25</v>
      </c>
      <c r="D17" s="40" t="s">
        <v>45</v>
      </c>
      <c r="E17" s="45">
        <f>Feed!I6</f>
        <v>0</v>
      </c>
      <c r="F17" s="6" t="s">
        <v>67</v>
      </c>
      <c r="G17" s="40"/>
      <c r="H17" s="5"/>
      <c r="I17" s="11" t="s">
        <v>7</v>
      </c>
      <c r="J17" s="118" t="e">
        <f t="shared" ref="J17" si="0">B17*E17</f>
        <v>#REF!</v>
      </c>
      <c r="K17" s="20"/>
      <c r="L17" s="20"/>
      <c r="M17" s="20"/>
      <c r="N17" s="20"/>
    </row>
    <row r="18" spans="1:14" x14ac:dyDescent="0.25">
      <c r="A18" t="s">
        <v>23</v>
      </c>
      <c r="B18" s="118">
        <f>IF(Feed!I10&gt;0,(IF(C1=Prices!A1,(((Feed!I7/Feed!I10)*Prices!B10)+((Feed!I8/Feed!I10)*Prices!B9)+((Feed!I9/Feed!I10)*Prices!B11)),IF(C1=Prices!A2,(((Feed!I7/Feed!I10)*Prices!C10)+((Feed!I8/Feed!I10)*Prices!C9)+((Feed!I9/Feed!I10)*Prices!C11)),IF(C1=Prices!A3,((Feed!I7/Feed!I10)*Prices!#REF!)+((Feed!I8/Feed!I10)*Prices!#REF!)+((Feed!I9/Feed!I10)*Prices!#REF!),"")))),0)</f>
        <v>0</v>
      </c>
      <c r="C18" s="6" t="s">
        <v>26</v>
      </c>
      <c r="D18" s="40" t="s">
        <v>45</v>
      </c>
      <c r="E18" s="41">
        <f>Feed!I10</f>
        <v>0</v>
      </c>
      <c r="F18" s="6" t="s">
        <v>68</v>
      </c>
      <c r="G18" s="40"/>
      <c r="H18" s="5"/>
      <c r="I18" s="11" t="s">
        <v>7</v>
      </c>
      <c r="J18" s="118">
        <f>B18*E18</f>
        <v>0</v>
      </c>
      <c r="K18" s="20"/>
      <c r="L18" s="20"/>
      <c r="M18" s="20"/>
      <c r="N18" s="20"/>
    </row>
    <row r="19" spans="1:14" x14ac:dyDescent="0.25">
      <c r="A19" s="26" t="s">
        <v>28</v>
      </c>
      <c r="B19" s="118">
        <f>IF(Feed!I13&gt;0,(IF(C1=Prices!A1,(((Feed!I12/Feed!I13)*Prices!B7)+((Feed!#REF!/Feed!I13)*Prices!#REF!)+((Feed!I11/Feed!I13)*(Prices!B6*2000)/56)),IF(C1=Prices!A2,(((Feed!I12/Feed!I13)*Prices!C7)+((Feed!#REF!/Feed!I13)*Prices!#REF!)+((Feed!I11/Feed!I13)*(Prices!C6*2000)/56)),IF(C1=Prices!A3,(((Feed!I12/Feed!I13)*Prices!#REF!)+((Feed!#REF!/Feed!I13)*Prices!#REF!)+((Feed!I11/Feed!I13)*(Prices!#REF!*2000)/56)),"")))),0)</f>
        <v>0</v>
      </c>
      <c r="C19" s="6" t="s">
        <v>26</v>
      </c>
      <c r="D19" s="40" t="s">
        <v>45</v>
      </c>
      <c r="E19" s="41">
        <f>Feed!I13</f>
        <v>0</v>
      </c>
      <c r="F19" s="6" t="s">
        <v>69</v>
      </c>
      <c r="G19" s="40"/>
      <c r="H19" s="5"/>
      <c r="I19" s="11" t="s">
        <v>7</v>
      </c>
      <c r="J19" s="118">
        <f>(B19/2000)*E19</f>
        <v>0</v>
      </c>
      <c r="K19" s="20"/>
      <c r="L19" s="20"/>
      <c r="M19" s="20"/>
      <c r="N19" s="20"/>
    </row>
    <row r="20" spans="1:14" x14ac:dyDescent="0.25">
      <c r="A20" t="s">
        <v>27</v>
      </c>
      <c r="B20" s="118" t="e">
        <f>IF(C1=Prices!A1,Prices!#REF!, IF(C1=Prices!A2,Prices!#REF!, IF(C1=Prices!A3,Prices!#REF!, "")))</f>
        <v>#REF!</v>
      </c>
      <c r="C20" s="6" t="s">
        <v>26</v>
      </c>
      <c r="D20" s="40" t="s">
        <v>45</v>
      </c>
      <c r="E20" s="45">
        <f>Feed!I14</f>
        <v>37.5</v>
      </c>
      <c r="F20" s="6" t="s">
        <v>69</v>
      </c>
      <c r="G20" s="40"/>
      <c r="H20" s="5"/>
      <c r="I20" s="11" t="s">
        <v>7</v>
      </c>
      <c r="J20" s="118" t="e">
        <f>(B20/2000)*E20</f>
        <v>#REF!</v>
      </c>
      <c r="K20" s="20"/>
      <c r="L20" s="20"/>
      <c r="M20" s="20"/>
      <c r="N20" s="20"/>
    </row>
    <row r="21" spans="1:14" x14ac:dyDescent="0.25">
      <c r="A21" t="s">
        <v>113</v>
      </c>
      <c r="B21" s="109">
        <v>0</v>
      </c>
      <c r="C21" s="6" t="s">
        <v>114</v>
      </c>
      <c r="D21" s="117" t="s">
        <v>45</v>
      </c>
      <c r="E21" s="111">
        <v>0</v>
      </c>
      <c r="F21" s="6" t="s">
        <v>115</v>
      </c>
      <c r="G21" s="117"/>
      <c r="H21" s="5"/>
      <c r="I21" s="11" t="s">
        <v>46</v>
      </c>
      <c r="J21" s="109">
        <f>B21*E21</f>
        <v>0</v>
      </c>
      <c r="K21" s="20"/>
      <c r="L21" s="20"/>
      <c r="M21" s="20"/>
      <c r="N21" s="20"/>
    </row>
    <row r="22" spans="1:14" x14ac:dyDescent="0.25">
      <c r="A22" t="s">
        <v>29</v>
      </c>
      <c r="B22" s="109">
        <v>20</v>
      </c>
      <c r="C22" s="6" t="s">
        <v>57</v>
      </c>
      <c r="D22" s="40" t="s">
        <v>45</v>
      </c>
      <c r="E22" s="111">
        <f>0.2*(B5/30)</f>
        <v>1</v>
      </c>
      <c r="F22" s="6" t="s">
        <v>58</v>
      </c>
      <c r="G22" s="40"/>
      <c r="H22" s="5"/>
      <c r="I22" s="11" t="s">
        <v>7</v>
      </c>
      <c r="J22" s="109">
        <f>B22*E22</f>
        <v>20</v>
      </c>
      <c r="K22" s="20"/>
      <c r="L22" s="20"/>
      <c r="M22" s="20"/>
      <c r="N22" s="20"/>
    </row>
    <row r="23" spans="1:14" x14ac:dyDescent="0.25">
      <c r="A23" t="s">
        <v>30</v>
      </c>
      <c r="B23" s="1"/>
      <c r="C23" s="6"/>
      <c r="D23" s="40"/>
      <c r="E23" s="3"/>
      <c r="F23" s="6"/>
      <c r="G23" s="40"/>
      <c r="H23" s="5"/>
      <c r="I23" s="11"/>
      <c r="J23" s="120" t="e">
        <f>ROUND(3.99*J5,0)</f>
        <v>#REF!</v>
      </c>
      <c r="K23" s="20"/>
      <c r="M23" s="20"/>
      <c r="N23" s="20"/>
    </row>
    <row r="24" spans="1:14" x14ac:dyDescent="0.25">
      <c r="A24" t="s">
        <v>48</v>
      </c>
      <c r="B24" s="1"/>
      <c r="C24" s="6"/>
      <c r="D24" s="40"/>
      <c r="E24" s="3"/>
      <c r="F24" s="6"/>
      <c r="G24" s="40"/>
      <c r="H24" s="5"/>
      <c r="I24" s="11"/>
      <c r="J24" s="120" t="e">
        <f>ROUND(5.61*J5,0)</f>
        <v>#REF!</v>
      </c>
      <c r="K24" s="20"/>
      <c r="M24" s="20"/>
      <c r="N24" s="20"/>
    </row>
    <row r="25" spans="1:14" x14ac:dyDescent="0.25">
      <c r="A25" t="s">
        <v>31</v>
      </c>
      <c r="B25" s="1"/>
      <c r="C25" s="6"/>
      <c r="D25" s="40"/>
      <c r="E25" s="3"/>
      <c r="F25" s="6"/>
      <c r="G25" s="40"/>
      <c r="H25" s="5"/>
      <c r="I25" s="11"/>
      <c r="J25" s="120" t="e">
        <f>ROUND(3.25*J5,0)</f>
        <v>#REF!</v>
      </c>
      <c r="K25" s="20"/>
      <c r="M25" s="20"/>
      <c r="N25" s="20"/>
    </row>
    <row r="26" spans="1:14" x14ac:dyDescent="0.25">
      <c r="A26" t="s">
        <v>59</v>
      </c>
      <c r="B26" s="1"/>
      <c r="C26" s="6"/>
      <c r="D26" s="40"/>
      <c r="E26" s="3"/>
      <c r="F26" s="6"/>
      <c r="G26" s="40"/>
      <c r="H26" s="5"/>
      <c r="I26" s="11"/>
      <c r="J26" s="120" t="e">
        <f>ROUND(5.46*J5,0)</f>
        <v>#REF!</v>
      </c>
      <c r="K26" s="20"/>
      <c r="M26" s="20"/>
      <c r="N26" s="20"/>
    </row>
    <row r="27" spans="1:14" x14ac:dyDescent="0.25">
      <c r="A27" t="s">
        <v>111</v>
      </c>
      <c r="B27" s="1"/>
      <c r="C27" s="6"/>
      <c r="D27" s="116"/>
      <c r="E27" s="3"/>
      <c r="F27" s="6"/>
      <c r="G27" s="116"/>
      <c r="H27" s="5"/>
      <c r="I27" s="11"/>
      <c r="J27" s="120" t="e">
        <f>ROUND(3.55*J5,0)</f>
        <v>#REF!</v>
      </c>
      <c r="K27" s="20"/>
      <c r="M27" s="20"/>
      <c r="N27" s="20"/>
    </row>
    <row r="28" spans="1:14" x14ac:dyDescent="0.25">
      <c r="A28" s="12" t="s">
        <v>32</v>
      </c>
      <c r="B28" s="12"/>
      <c r="C28" s="36"/>
      <c r="D28" s="13"/>
      <c r="E28" s="37"/>
      <c r="F28" s="36"/>
      <c r="G28" s="13"/>
      <c r="H28" s="38"/>
      <c r="I28" s="39"/>
      <c r="J28" s="121" t="e">
        <f>ROUND(1.29*J5,0)</f>
        <v>#REF!</v>
      </c>
      <c r="K28" s="20"/>
      <c r="M28" s="20"/>
      <c r="N28" s="20"/>
    </row>
    <row r="29" spans="1:14" x14ac:dyDescent="0.25">
      <c r="A29" s="7" t="s">
        <v>15</v>
      </c>
      <c r="D29" s="40"/>
      <c r="G29" s="40"/>
      <c r="I29" s="40"/>
      <c r="J29" s="8" t="e">
        <f>SUM(J16:J28)</f>
        <v>#REF!</v>
      </c>
      <c r="K29" s="20"/>
      <c r="L29" s="20"/>
      <c r="M29" s="20"/>
      <c r="N29" s="20"/>
    </row>
    <row r="30" spans="1:14" x14ac:dyDescent="0.25">
      <c r="D30" s="40"/>
      <c r="G30" s="40"/>
      <c r="I30" s="40"/>
      <c r="K30" s="20"/>
      <c r="L30" s="20"/>
      <c r="M30" s="20"/>
      <c r="N30" s="20"/>
    </row>
    <row r="31" spans="1:14" x14ac:dyDescent="0.25">
      <c r="A31" s="14" t="s">
        <v>12</v>
      </c>
      <c r="B31" s="12"/>
      <c r="C31" s="12"/>
      <c r="D31" s="13"/>
      <c r="E31" s="12"/>
      <c r="F31" s="12"/>
      <c r="G31" s="13"/>
      <c r="H31" s="12"/>
      <c r="I31" s="13"/>
      <c r="J31" s="12"/>
      <c r="K31" s="20"/>
      <c r="L31" s="20"/>
      <c r="M31" s="20"/>
      <c r="N31" s="20"/>
    </row>
    <row r="32" spans="1:14" x14ac:dyDescent="0.25">
      <c r="A32" t="s">
        <v>33</v>
      </c>
      <c r="D32" s="40"/>
      <c r="G32" s="40"/>
      <c r="I32" s="40"/>
      <c r="J32" s="109">
        <v>10</v>
      </c>
      <c r="K32" s="20"/>
      <c r="L32" s="20"/>
      <c r="M32" s="20"/>
      <c r="N32" s="20"/>
    </row>
    <row r="33" spans="1:14" x14ac:dyDescent="0.25">
      <c r="A33" t="s">
        <v>63</v>
      </c>
      <c r="D33" s="40"/>
      <c r="G33" s="40"/>
      <c r="I33" s="40"/>
      <c r="J33" s="109">
        <v>1.25</v>
      </c>
      <c r="K33" s="20"/>
      <c r="L33" s="20"/>
      <c r="M33" s="20"/>
      <c r="N33" s="20"/>
    </row>
    <row r="34" spans="1:14" x14ac:dyDescent="0.25">
      <c r="A34" t="s">
        <v>61</v>
      </c>
      <c r="D34" s="40"/>
      <c r="G34" s="40"/>
      <c r="I34" s="40"/>
      <c r="J34" s="109">
        <v>1.5</v>
      </c>
      <c r="K34" s="20"/>
      <c r="L34" s="20"/>
      <c r="M34" s="20"/>
      <c r="N34" s="20"/>
    </row>
    <row r="35" spans="1:14" x14ac:dyDescent="0.25">
      <c r="A35" s="29" t="s">
        <v>60</v>
      </c>
      <c r="B35" s="29"/>
      <c r="C35" s="29"/>
      <c r="D35" s="30"/>
      <c r="E35" s="29"/>
      <c r="F35" s="29"/>
      <c r="G35" s="30"/>
      <c r="H35" s="29"/>
      <c r="I35" s="30"/>
      <c r="J35" s="113">
        <v>23</v>
      </c>
      <c r="K35" s="20"/>
      <c r="L35" s="20"/>
      <c r="M35" s="20"/>
      <c r="N35" s="20"/>
    </row>
    <row r="36" spans="1:14" x14ac:dyDescent="0.25">
      <c r="A36" s="51" t="s">
        <v>75</v>
      </c>
      <c r="B36" s="12"/>
      <c r="C36" s="12"/>
      <c r="D36" s="13"/>
      <c r="E36" s="12"/>
      <c r="F36" s="12"/>
      <c r="G36" s="13"/>
      <c r="H36" s="12"/>
      <c r="I36" s="13"/>
      <c r="J36" s="112">
        <v>0</v>
      </c>
      <c r="K36" s="20"/>
      <c r="L36" s="20"/>
      <c r="M36" s="20"/>
      <c r="N36" s="20"/>
    </row>
    <row r="37" spans="1:14" x14ac:dyDescent="0.25">
      <c r="A37" s="7" t="s">
        <v>13</v>
      </c>
      <c r="D37" s="40"/>
      <c r="G37" s="40"/>
      <c r="I37" s="40"/>
      <c r="J37" s="8">
        <f>SUM(J32:J36)</f>
        <v>35.75</v>
      </c>
      <c r="K37" s="20"/>
      <c r="L37" s="20"/>
      <c r="M37" s="20"/>
      <c r="N37" s="20"/>
    </row>
    <row r="38" spans="1:14" x14ac:dyDescent="0.25">
      <c r="D38" s="40"/>
      <c r="G38" s="40"/>
      <c r="I38" s="40"/>
      <c r="K38" s="20"/>
      <c r="L38" s="20"/>
      <c r="M38" s="20"/>
      <c r="N38" s="20"/>
    </row>
    <row r="39" spans="1:14" ht="15" customHeight="1" x14ac:dyDescent="0.25">
      <c r="A39" s="14" t="s">
        <v>14</v>
      </c>
      <c r="B39" s="12"/>
      <c r="C39" s="12"/>
      <c r="D39" s="13"/>
      <c r="E39" s="12"/>
      <c r="F39" s="12"/>
      <c r="G39" s="13"/>
      <c r="H39" s="12"/>
      <c r="I39" s="13"/>
      <c r="J39" s="15" t="e">
        <f>J29+J37</f>
        <v>#REF!</v>
      </c>
      <c r="K39" s="87"/>
      <c r="L39" s="20"/>
      <c r="M39" s="20"/>
      <c r="N39" s="20"/>
    </row>
    <row r="40" spans="1:14" x14ac:dyDescent="0.25">
      <c r="A40" s="28"/>
      <c r="B40" s="29"/>
      <c r="C40" s="29"/>
      <c r="D40" s="30"/>
      <c r="E40" s="29"/>
      <c r="F40" s="29"/>
      <c r="G40" s="30"/>
      <c r="H40" s="29"/>
      <c r="I40" s="30"/>
      <c r="J40" s="16"/>
    </row>
    <row r="41" spans="1:14" x14ac:dyDescent="0.25">
      <c r="A41" t="s">
        <v>34</v>
      </c>
      <c r="D41" s="40"/>
      <c r="G41" s="40"/>
      <c r="I41" s="40"/>
      <c r="J41" s="4" t="e">
        <f>J13-J29</f>
        <v>#REF!</v>
      </c>
    </row>
    <row r="42" spans="1:14" ht="15.75" thickBot="1" x14ac:dyDescent="0.3">
      <c r="A42" s="2" t="s">
        <v>16</v>
      </c>
      <c r="D42" s="40"/>
      <c r="G42" s="40"/>
      <c r="I42" s="40"/>
      <c r="J42" s="22" t="e">
        <f>J13-J39</f>
        <v>#REF!</v>
      </c>
    </row>
    <row r="43" spans="1:14" ht="31.5" customHeight="1" thickTop="1" x14ac:dyDescent="0.25">
      <c r="A43" s="28"/>
      <c r="B43" s="29"/>
      <c r="C43" s="29"/>
      <c r="D43" s="64"/>
      <c r="E43" s="29"/>
      <c r="F43" s="29"/>
      <c r="G43" s="64"/>
      <c r="H43" s="29"/>
      <c r="I43" s="64"/>
      <c r="J43" s="16"/>
    </row>
    <row r="44" spans="1:14" ht="15" customHeight="1" x14ac:dyDescent="0.25">
      <c r="A44" s="224" t="s">
        <v>42</v>
      </c>
      <c r="B44" s="232"/>
      <c r="C44" s="232"/>
      <c r="D44" s="232"/>
      <c r="E44" s="232"/>
      <c r="F44" s="232"/>
      <c r="G44" s="232"/>
      <c r="H44" s="232"/>
      <c r="I44" s="232"/>
      <c r="J44" s="232"/>
    </row>
    <row r="45" spans="1:14" ht="15.75" x14ac:dyDescent="0.25">
      <c r="A45" s="32" t="s">
        <v>96</v>
      </c>
      <c r="B45" s="32"/>
      <c r="C45" s="32"/>
      <c r="D45" s="32"/>
      <c r="E45" s="32"/>
      <c r="F45" s="32"/>
      <c r="G45" s="32"/>
      <c r="H45" s="32"/>
      <c r="I45" s="32"/>
      <c r="J45" s="32" t="e">
        <f>TEXT(#REF!,"MMM. DD, YYYY")</f>
        <v>#REF!</v>
      </c>
    </row>
    <row r="46" spans="1:14" x14ac:dyDescent="0.25">
      <c r="B46" s="35"/>
    </row>
    <row r="47" spans="1:14" ht="19.5" thickBot="1" x14ac:dyDescent="0.35">
      <c r="A47" s="219" t="s">
        <v>62</v>
      </c>
      <c r="B47" s="220"/>
      <c r="C47" s="221"/>
      <c r="D47" s="221"/>
      <c r="E47" s="221"/>
      <c r="F47" s="221"/>
      <c r="G47" s="222"/>
      <c r="H47" s="222"/>
      <c r="I47" s="222"/>
      <c r="J47" s="222"/>
    </row>
    <row r="90" spans="1:10" ht="37.5" customHeight="1" x14ac:dyDescent="0.25"/>
    <row r="91" spans="1:10" x14ac:dyDescent="0.25">
      <c r="A91" s="224" t="s">
        <v>42</v>
      </c>
      <c r="B91" s="232"/>
      <c r="C91" s="232"/>
      <c r="D91" s="232"/>
      <c r="E91" s="232"/>
      <c r="F91" s="232"/>
      <c r="G91" s="232"/>
      <c r="H91" s="232"/>
      <c r="I91" s="232"/>
      <c r="J91" s="232"/>
    </row>
    <row r="92" spans="1:10" ht="15.75" x14ac:dyDescent="0.25">
      <c r="A92" s="32" t="s">
        <v>96</v>
      </c>
      <c r="B92" s="32"/>
      <c r="C92" s="32"/>
      <c r="D92" s="32"/>
      <c r="E92" s="32"/>
      <c r="F92" s="32"/>
      <c r="G92" s="32"/>
      <c r="H92" s="32"/>
      <c r="I92" s="32"/>
      <c r="J92" s="32" t="e">
        <f>J45</f>
        <v>#REF!</v>
      </c>
    </row>
    <row r="93" spans="1:10" ht="0.75" customHeight="1" x14ac:dyDescent="0.25">
      <c r="A93" s="61"/>
      <c r="B93" s="61"/>
      <c r="C93" s="61"/>
      <c r="D93" s="61"/>
      <c r="E93" s="61"/>
      <c r="F93" s="61"/>
      <c r="G93" s="61"/>
      <c r="H93" s="61"/>
      <c r="I93" s="61"/>
      <c r="J93" s="61"/>
    </row>
    <row r="94" spans="1:10" ht="19.5" thickBot="1" x14ac:dyDescent="0.35">
      <c r="A94" s="219" t="s">
        <v>62</v>
      </c>
      <c r="B94" s="220"/>
      <c r="C94" s="221"/>
      <c r="D94" s="221"/>
      <c r="E94" s="221"/>
      <c r="F94" s="221"/>
      <c r="G94" s="222"/>
      <c r="H94" s="222"/>
      <c r="I94" s="222"/>
      <c r="J94" s="222"/>
    </row>
    <row r="95" spans="1:10" ht="15.75" x14ac:dyDescent="0.25">
      <c r="A95" s="62" t="s">
        <v>85</v>
      </c>
    </row>
    <row r="97" spans="1:5" ht="15.75" thickBot="1" x14ac:dyDescent="0.3">
      <c r="A97" s="47" t="s">
        <v>56</v>
      </c>
      <c r="B97" s="46" t="s">
        <v>80</v>
      </c>
      <c r="C97" s="46"/>
      <c r="D97" s="46"/>
      <c r="E97" s="46"/>
    </row>
    <row r="98" spans="1:5" x14ac:dyDescent="0.25">
      <c r="A98" s="2"/>
      <c r="B98" s="14" t="s">
        <v>18</v>
      </c>
      <c r="C98" s="14" t="s">
        <v>4</v>
      </c>
    </row>
    <row r="99" spans="1:5" x14ac:dyDescent="0.25">
      <c r="A99" t="s">
        <v>22</v>
      </c>
      <c r="B99" s="45">
        <f>Feed!I5</f>
        <v>4</v>
      </c>
      <c r="C99" s="6" t="s">
        <v>79</v>
      </c>
    </row>
    <row r="100" spans="1:5" x14ac:dyDescent="0.25">
      <c r="A100" t="s">
        <v>24</v>
      </c>
      <c r="B100" s="45">
        <f>Feed!I6</f>
        <v>0</v>
      </c>
      <c r="C100" s="6" t="s">
        <v>79</v>
      </c>
    </row>
    <row r="101" spans="1:5" x14ac:dyDescent="0.25">
      <c r="A101" s="43" t="s">
        <v>108</v>
      </c>
      <c r="B101" s="56">
        <f>Feed!I7</f>
        <v>0</v>
      </c>
      <c r="C101" s="6" t="s">
        <v>105</v>
      </c>
    </row>
    <row r="102" spans="1:5" x14ac:dyDescent="0.25">
      <c r="A102" s="43" t="s">
        <v>78</v>
      </c>
      <c r="B102" s="56">
        <f>Feed!I8</f>
        <v>0</v>
      </c>
      <c r="C102" s="6" t="s">
        <v>105</v>
      </c>
    </row>
    <row r="103" spans="1:5" x14ac:dyDescent="0.25">
      <c r="A103" s="43" t="s">
        <v>51</v>
      </c>
      <c r="B103" s="56">
        <f>Feed!I9</f>
        <v>0</v>
      </c>
      <c r="C103" s="6" t="s">
        <v>105</v>
      </c>
    </row>
    <row r="104" spans="1:5" x14ac:dyDescent="0.25">
      <c r="A104" t="s">
        <v>77</v>
      </c>
      <c r="B104" s="56">
        <f>Feed!I10</f>
        <v>0</v>
      </c>
      <c r="C104" s="6" t="s">
        <v>105</v>
      </c>
    </row>
    <row r="105" spans="1:5" x14ac:dyDescent="0.25">
      <c r="A105" s="43" t="s">
        <v>53</v>
      </c>
      <c r="B105" s="56">
        <f>Feed!I11</f>
        <v>0</v>
      </c>
      <c r="C105" s="6" t="s">
        <v>104</v>
      </c>
    </row>
    <row r="106" spans="1:5" x14ac:dyDescent="0.25">
      <c r="A106" s="43" t="s">
        <v>54</v>
      </c>
      <c r="B106" s="56" t="e">
        <f>Feed!#REF!</f>
        <v>#REF!</v>
      </c>
      <c r="C106" s="6" t="s">
        <v>104</v>
      </c>
    </row>
    <row r="107" spans="1:5" x14ac:dyDescent="0.25">
      <c r="A107" s="43" t="s">
        <v>55</v>
      </c>
      <c r="B107" s="56">
        <f>Feed!I12</f>
        <v>0</v>
      </c>
      <c r="C107" s="6" t="s">
        <v>104</v>
      </c>
    </row>
    <row r="108" spans="1:5" x14ac:dyDescent="0.25">
      <c r="A108" t="s">
        <v>76</v>
      </c>
      <c r="B108" s="56">
        <f>Feed!I13</f>
        <v>0</v>
      </c>
      <c r="C108" s="6" t="s">
        <v>104</v>
      </c>
    </row>
    <row r="109" spans="1:5" x14ac:dyDescent="0.25">
      <c r="A109" t="s">
        <v>40</v>
      </c>
      <c r="B109" s="56">
        <f>Feed!I14</f>
        <v>37.5</v>
      </c>
      <c r="C109" s="6" t="s">
        <v>104</v>
      </c>
    </row>
    <row r="114" spans="1:6" ht="15.75" thickBot="1" x14ac:dyDescent="0.3">
      <c r="A114" s="47" t="s">
        <v>109</v>
      </c>
      <c r="B114" s="46"/>
      <c r="C114" s="46"/>
      <c r="D114" s="46"/>
      <c r="E114" s="46"/>
      <c r="F114" s="46"/>
    </row>
    <row r="115" spans="1:6" ht="15" customHeight="1" x14ac:dyDescent="0.25">
      <c r="A115" s="57"/>
      <c r="B115" s="65" t="s">
        <v>86</v>
      </c>
      <c r="C115" s="223" t="s">
        <v>87</v>
      </c>
      <c r="D115" s="223"/>
      <c r="E115" s="233" t="s">
        <v>88</v>
      </c>
      <c r="F115" s="233"/>
    </row>
    <row r="116" spans="1:6" x14ac:dyDescent="0.25">
      <c r="A116" t="s">
        <v>90</v>
      </c>
      <c r="B116" s="58" t="e">
        <f>Prices!#REF!</f>
        <v>#REF!</v>
      </c>
      <c r="C116" s="218" t="e">
        <f>Prices!#REF!</f>
        <v>#REF!</v>
      </c>
      <c r="D116" s="234"/>
      <c r="E116" s="218" t="e">
        <f>Prices!#REF!</f>
        <v>#REF!</v>
      </c>
      <c r="F116" s="234"/>
    </row>
    <row r="117" spans="1:6" x14ac:dyDescent="0.25">
      <c r="A117" t="s">
        <v>92</v>
      </c>
      <c r="B117" s="58">
        <f>Prices!B16</f>
        <v>46.82</v>
      </c>
      <c r="C117" s="218">
        <f>Prices!C16</f>
        <v>46.18</v>
      </c>
      <c r="D117" s="234"/>
      <c r="E117" s="218" t="e">
        <f>Prices!#REF!</f>
        <v>#REF!</v>
      </c>
      <c r="F117" s="234"/>
    </row>
    <row r="118" spans="1:6" x14ac:dyDescent="0.25">
      <c r="A118" t="s">
        <v>91</v>
      </c>
      <c r="B118" s="58" t="e">
        <f>Prices!#REF!</f>
        <v>#REF!</v>
      </c>
      <c r="C118" s="218" t="e">
        <f>Prices!#REF!</f>
        <v>#REF!</v>
      </c>
      <c r="D118" s="234"/>
      <c r="E118" s="218" t="e">
        <f>Prices!#REF!</f>
        <v>#REF!</v>
      </c>
      <c r="F118" s="234"/>
    </row>
    <row r="119" spans="1:6" x14ac:dyDescent="0.25">
      <c r="A119" t="s">
        <v>9</v>
      </c>
      <c r="B119" s="58">
        <f>Prices!B6</f>
        <v>305</v>
      </c>
      <c r="C119" s="218">
        <f>Prices!C6</f>
        <v>304.8</v>
      </c>
      <c r="D119" s="234"/>
      <c r="E119" s="218" t="e">
        <f>Prices!#REF!</f>
        <v>#REF!</v>
      </c>
      <c r="F119" s="234"/>
    </row>
    <row r="120" spans="1:6" x14ac:dyDescent="0.25">
      <c r="A120" t="s">
        <v>10</v>
      </c>
      <c r="B120" s="58">
        <f>Prices!B7</f>
        <v>4.87</v>
      </c>
      <c r="C120" s="218">
        <f>Prices!C7</f>
        <v>5.4766541471048509</v>
      </c>
      <c r="D120" s="234"/>
      <c r="E120" s="218" t="e">
        <f>Prices!#REF!</f>
        <v>#REF!</v>
      </c>
      <c r="F120" s="234"/>
    </row>
    <row r="121" spans="1:6" x14ac:dyDescent="0.25">
      <c r="A121" t="s">
        <v>89</v>
      </c>
      <c r="B121" s="58" t="e">
        <f>Prices!#REF!</f>
        <v>#REF!</v>
      </c>
      <c r="C121" s="218" t="e">
        <f>Prices!#REF!</f>
        <v>#REF!</v>
      </c>
      <c r="D121" s="234"/>
      <c r="E121" s="218" t="e">
        <f>Prices!#REF!</f>
        <v>#REF!</v>
      </c>
      <c r="F121" s="234"/>
    </row>
    <row r="122" spans="1:6" x14ac:dyDescent="0.25">
      <c r="A122" t="s">
        <v>83</v>
      </c>
      <c r="B122" s="58">
        <f>Prices!B9</f>
        <v>25.56</v>
      </c>
      <c r="C122" s="218">
        <f>Prices!C9</f>
        <v>28.743999999999996</v>
      </c>
      <c r="D122" s="234"/>
      <c r="E122" s="218" t="e">
        <f>Prices!#REF!</f>
        <v>#REF!</v>
      </c>
      <c r="F122" s="234"/>
    </row>
    <row r="123" spans="1:6" x14ac:dyDescent="0.25">
      <c r="A123" t="s">
        <v>70</v>
      </c>
      <c r="B123" s="58">
        <f>Prices!B10</f>
        <v>60</v>
      </c>
      <c r="C123" s="218">
        <f>Prices!C10</f>
        <v>67.474178403755872</v>
      </c>
      <c r="D123" s="234"/>
      <c r="E123" s="218" t="e">
        <f>Prices!#REF!</f>
        <v>#REF!</v>
      </c>
      <c r="F123" s="234"/>
    </row>
    <row r="124" spans="1:6" x14ac:dyDescent="0.25">
      <c r="A124" t="s">
        <v>71</v>
      </c>
      <c r="B124" s="58">
        <f>Prices!B11</f>
        <v>100</v>
      </c>
      <c r="C124" s="218">
        <f>Prices!C11</f>
        <v>112.45696400625977</v>
      </c>
      <c r="D124" s="234"/>
      <c r="E124" s="218" t="e">
        <f>Prices!#REF!</f>
        <v>#REF!</v>
      </c>
      <c r="F124" s="234"/>
    </row>
    <row r="125" spans="1:6" x14ac:dyDescent="0.25">
      <c r="A125" t="s">
        <v>72</v>
      </c>
      <c r="B125" s="58">
        <f>Prices!B12</f>
        <v>19.760000000000002</v>
      </c>
      <c r="C125" s="218">
        <f>Prices!C12</f>
        <v>20.155200000000001</v>
      </c>
      <c r="D125" s="234"/>
      <c r="E125" s="218" t="e">
        <f>Prices!#REF!</f>
        <v>#REF!</v>
      </c>
      <c r="F125" s="234"/>
    </row>
    <row r="126" spans="1:6" x14ac:dyDescent="0.25">
      <c r="A126" t="s">
        <v>73</v>
      </c>
      <c r="B126" s="58" t="e">
        <f>Prices!#REF!</f>
        <v>#REF!</v>
      </c>
      <c r="C126" s="218" t="e">
        <f>Prices!#REF!</f>
        <v>#REF!</v>
      </c>
      <c r="D126" s="234"/>
      <c r="E126" s="218" t="e">
        <f>Prices!#REF!</f>
        <v>#REF!</v>
      </c>
      <c r="F126" s="234"/>
    </row>
    <row r="127" spans="1:6" x14ac:dyDescent="0.25">
      <c r="A127" t="s">
        <v>74</v>
      </c>
      <c r="B127" s="58" t="e">
        <f>Prices!#REF!</f>
        <v>#REF!</v>
      </c>
      <c r="C127" s="218" t="e">
        <f>Prices!#REF!</f>
        <v>#REF!</v>
      </c>
      <c r="D127" s="234"/>
      <c r="E127" s="218" t="e">
        <f>Prices!#REF!</f>
        <v>#REF!</v>
      </c>
      <c r="F127" s="234"/>
    </row>
    <row r="128" spans="1:6" x14ac:dyDescent="0.25">
      <c r="B128" s="58"/>
      <c r="C128" s="63"/>
      <c r="D128" s="64"/>
      <c r="E128" s="63"/>
      <c r="F128" s="64"/>
    </row>
    <row r="129" spans="1:10" ht="58.5" customHeight="1"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B133" s="58"/>
      <c r="C133" s="63"/>
      <c r="D133" s="64"/>
      <c r="E133" s="63"/>
      <c r="F133" s="64"/>
    </row>
    <row r="134" spans="1:10" x14ac:dyDescent="0.25">
      <c r="B134" s="58"/>
      <c r="C134" s="63"/>
      <c r="D134" s="64"/>
      <c r="E134" s="63"/>
      <c r="F134" s="64"/>
    </row>
    <row r="135" spans="1:10" x14ac:dyDescent="0.25">
      <c r="A135" s="224" t="s">
        <v>42</v>
      </c>
      <c r="B135" s="232"/>
      <c r="C135" s="232"/>
      <c r="D135" s="232"/>
      <c r="E135" s="232"/>
      <c r="F135" s="232"/>
      <c r="G135" s="232"/>
      <c r="H135" s="232"/>
      <c r="I135" s="232"/>
      <c r="J135" s="232"/>
    </row>
    <row r="136" spans="1:10" ht="15.75" x14ac:dyDescent="0.25">
      <c r="A136" s="32" t="s">
        <v>96</v>
      </c>
      <c r="B136" s="32"/>
      <c r="C136" s="32"/>
      <c r="D136" s="32"/>
      <c r="E136" s="32"/>
      <c r="F136" s="32"/>
      <c r="G136" s="32"/>
      <c r="H136" s="32"/>
      <c r="I136" s="32"/>
      <c r="J136" s="32" t="e">
        <f>J92</f>
        <v>#REF!</v>
      </c>
    </row>
  </sheetData>
  <sheetProtection sheet="1" objects="1" scenarios="1"/>
  <mergeCells count="41">
    <mergeCell ref="C127:D127"/>
    <mergeCell ref="E127:F127"/>
    <mergeCell ref="A135:J135"/>
    <mergeCell ref="C6:E6"/>
    <mergeCell ref="I4:J4"/>
    <mergeCell ref="C124:D124"/>
    <mergeCell ref="E124:F124"/>
    <mergeCell ref="C125:D125"/>
    <mergeCell ref="E125:F125"/>
    <mergeCell ref="C126:D126"/>
    <mergeCell ref="E126:F126"/>
    <mergeCell ref="C121:D121"/>
    <mergeCell ref="E121:F121"/>
    <mergeCell ref="C122:D122"/>
    <mergeCell ref="E122:F122"/>
    <mergeCell ref="C123:D123"/>
    <mergeCell ref="E123:F123"/>
    <mergeCell ref="C118:D118"/>
    <mergeCell ref="E118:F118"/>
    <mergeCell ref="C119:D119"/>
    <mergeCell ref="E119:F119"/>
    <mergeCell ref="C120:D120"/>
    <mergeCell ref="E120:F120"/>
    <mergeCell ref="C115:D115"/>
    <mergeCell ref="E115:F115"/>
    <mergeCell ref="C116:D116"/>
    <mergeCell ref="E116:F116"/>
    <mergeCell ref="C117:D117"/>
    <mergeCell ref="E117:F117"/>
    <mergeCell ref="A47:B47"/>
    <mergeCell ref="C47:F47"/>
    <mergeCell ref="G47:J47"/>
    <mergeCell ref="A91:J91"/>
    <mergeCell ref="A94:B94"/>
    <mergeCell ref="C94:F94"/>
    <mergeCell ref="G94:J94"/>
    <mergeCell ref="A1:B1"/>
    <mergeCell ref="C5:E5"/>
    <mergeCell ref="C1:F1"/>
    <mergeCell ref="G1:J1"/>
    <mergeCell ref="A44:J44"/>
  </mergeCells>
  <dataValidations count="1">
    <dataValidation type="list" showInputMessage="1" showErrorMessage="1" prompt="Select a price horizon to budget from" sqref="C1">
      <formula1>price_selections</formula1>
    </dataValidation>
  </dataValidations>
  <pageMargins left="0.25" right="0.25" top="0.75" bottom="0.5" header="0.3" footer="0"/>
  <pageSetup orientation="portrait" horizontalDpi="4294967295" verticalDpi="4294967295" r:id="rId1"/>
  <headerFooter>
    <oddHeader>&amp;L&amp;"-,Bold"&amp;20FARM MANAGEMENT GUIDE</oddHeader>
  </headerFooter>
  <rowBreaks count="2" manualBreakCount="2">
    <brk id="46" max="9" man="1"/>
    <brk id="9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locked="0" defaultSize="0" print="0" autoFill="0" autoPict="0" macro="[0]!PrintStockerBudget">
                <anchor moveWithCells="1" sizeWithCells="1">
                  <from>
                    <xdr:col>11</xdr:col>
                    <xdr:colOff>19050</xdr:colOff>
                    <xdr:row>2</xdr:row>
                    <xdr:rowOff>171450</xdr:rowOff>
                  </from>
                  <to>
                    <xdr:col>14</xdr:col>
                    <xdr:colOff>428625</xdr:colOff>
                    <xdr:row>4</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0]!PrintStockerPage">
                <anchor moveWithCells="1" sizeWithCells="1">
                  <from>
                    <xdr:col>10</xdr:col>
                    <xdr:colOff>600075</xdr:colOff>
                    <xdr:row>5</xdr:row>
                    <xdr:rowOff>152400</xdr:rowOff>
                  </from>
                  <to>
                    <xdr:col>14</xdr:col>
                    <xdr:colOff>438150</xdr:colOff>
                    <xdr:row>7</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C00000"/>
  </sheetPr>
  <dimension ref="A1:T134"/>
  <sheetViews>
    <sheetView zoomScale="110" zoomScaleNormal="110" workbookViewId="0">
      <selection activeCell="J26" sqref="J26"/>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7" width="5" customWidth="1"/>
    <col min="8" max="8" width="3.7109375" customWidth="1"/>
    <col min="9" max="9" width="5.42578125" customWidth="1"/>
    <col min="10" max="10" width="16.42578125" customWidth="1"/>
  </cols>
  <sheetData>
    <row r="1" spans="1:20" ht="15" customHeight="1" x14ac:dyDescent="0.25">
      <c r="A1" s="226" t="s">
        <v>94</v>
      </c>
      <c r="B1" s="227"/>
      <c r="C1" s="228" t="s">
        <v>19</v>
      </c>
      <c r="D1" s="228"/>
      <c r="E1" s="228"/>
      <c r="F1" s="228"/>
      <c r="G1" s="231" t="str">
        <f>IF(C1=Prices!B4,TEXT(Prices!B5,"MMM-YYYY"),IF(C1=Prices!C4,TEXT(Prices!C5,"MMM-YYYY"),TEXT(Prices!#REF!,"MMM-YYYY")))</f>
        <v>(as of Dec. 5th, 2016)</v>
      </c>
      <c r="H1" s="231"/>
      <c r="I1" s="231"/>
      <c r="J1" s="231"/>
      <c r="K1" s="72"/>
    </row>
    <row r="2" spans="1:20" x14ac:dyDescent="0.25">
      <c r="A2" s="18"/>
      <c r="B2" s="19"/>
      <c r="C2" s="20"/>
      <c r="D2" s="21"/>
      <c r="E2" s="20"/>
      <c r="F2" s="20"/>
      <c r="G2" s="21"/>
      <c r="H2" s="20"/>
      <c r="I2" s="21"/>
      <c r="J2" s="20"/>
      <c r="L2" s="70" t="s">
        <v>101</v>
      </c>
      <c r="M2" s="71"/>
      <c r="N2" s="71"/>
      <c r="O2" s="71"/>
      <c r="P2" s="71"/>
      <c r="Q2" s="71"/>
      <c r="R2" s="71"/>
      <c r="S2" s="71"/>
      <c r="T2" s="71"/>
    </row>
    <row r="3" spans="1:20" x14ac:dyDescent="0.25">
      <c r="A3" s="9" t="s">
        <v>2</v>
      </c>
      <c r="D3" s="40"/>
      <c r="G3" s="40"/>
      <c r="I3" s="40"/>
    </row>
    <row r="4" spans="1:20" x14ac:dyDescent="0.25">
      <c r="A4" t="s">
        <v>47</v>
      </c>
      <c r="B4" s="108">
        <v>1.4999999999999999E-2</v>
      </c>
      <c r="D4" s="40"/>
      <c r="F4" s="42"/>
      <c r="G4" s="40"/>
      <c r="I4" s="235" t="s">
        <v>102</v>
      </c>
      <c r="J4" s="235"/>
    </row>
    <row r="5" spans="1:20" x14ac:dyDescent="0.25">
      <c r="A5" t="s">
        <v>50</v>
      </c>
      <c r="B5" s="111">
        <v>160</v>
      </c>
      <c r="C5" s="230" t="s">
        <v>49</v>
      </c>
      <c r="D5" s="230"/>
      <c r="E5" s="230"/>
      <c r="F5" s="115">
        <v>3.7</v>
      </c>
      <c r="G5" s="40"/>
      <c r="I5" s="40"/>
      <c r="J5" s="73">
        <f>(E8-E9)/100</f>
        <v>5.92</v>
      </c>
    </row>
    <row r="6" spans="1:20" x14ac:dyDescent="0.25">
      <c r="D6" s="40"/>
      <c r="G6" s="40"/>
      <c r="I6" s="40"/>
    </row>
    <row r="7" spans="1:20" x14ac:dyDescent="0.25">
      <c r="A7" s="14" t="s">
        <v>64</v>
      </c>
      <c r="B7" s="14" t="s">
        <v>3</v>
      </c>
      <c r="C7" s="14" t="s">
        <v>4</v>
      </c>
      <c r="D7" s="14"/>
      <c r="E7" s="14" t="s">
        <v>18</v>
      </c>
      <c r="F7" s="14" t="s">
        <v>4</v>
      </c>
      <c r="G7" s="14"/>
      <c r="H7" s="14"/>
      <c r="I7" s="14"/>
      <c r="J7" s="14" t="s">
        <v>20</v>
      </c>
      <c r="K7" s="20"/>
    </row>
    <row r="8" spans="1:20" x14ac:dyDescent="0.25">
      <c r="A8" t="s">
        <v>99</v>
      </c>
      <c r="B8" s="122" t="e">
        <f>(IF(C1=Prices!A1,Prices!#REF!,IF(C1=Prices!A2,Prices!#REF!,IF(C1=Prices!A3,Prices!#REF!,""))))</f>
        <v>#REF!</v>
      </c>
      <c r="C8" s="6" t="s">
        <v>41</v>
      </c>
      <c r="D8" s="40" t="s">
        <v>45</v>
      </c>
      <c r="E8" s="41">
        <f>E9+(B5*F5)</f>
        <v>1367</v>
      </c>
      <c r="F8" s="6" t="s">
        <v>5</v>
      </c>
      <c r="G8" s="40"/>
      <c r="H8" s="5"/>
      <c r="I8" s="11" t="s">
        <v>46</v>
      </c>
      <c r="J8" s="4" t="e">
        <f>B8*(E8/100)</f>
        <v>#REF!</v>
      </c>
      <c r="K8" s="69"/>
      <c r="L8" s="20"/>
      <c r="M8" s="20"/>
      <c r="N8" s="20"/>
    </row>
    <row r="9" spans="1:20" x14ac:dyDescent="0.25">
      <c r="A9" t="s">
        <v>43</v>
      </c>
      <c r="B9" s="118" t="e">
        <f>(IF(C1=Prices!A1,Prices!#REF!,IF(C1=Prices!A2,Prices!#REF!,IF(C1=Prices!A3,Prices!#REF!,""))))</f>
        <v>#REF!</v>
      </c>
      <c r="C9" s="6" t="s">
        <v>41</v>
      </c>
      <c r="D9" s="40" t="s">
        <v>45</v>
      </c>
      <c r="E9" s="110">
        <v>775</v>
      </c>
      <c r="F9" s="6" t="s">
        <v>5</v>
      </c>
      <c r="G9" s="40"/>
      <c r="H9" s="5"/>
      <c r="I9" s="11" t="s">
        <v>46</v>
      </c>
      <c r="J9" s="4" t="e">
        <f>-(B9*(E9/100))</f>
        <v>#REF!</v>
      </c>
      <c r="K9" s="20"/>
      <c r="L9" s="20"/>
      <c r="M9" s="20"/>
      <c r="N9" s="20"/>
    </row>
    <row r="10" spans="1:20" x14ac:dyDescent="0.25">
      <c r="A10" t="s">
        <v>47</v>
      </c>
      <c r="B10" s="1"/>
      <c r="C10" s="6"/>
      <c r="D10" s="40"/>
      <c r="E10" s="31"/>
      <c r="F10" s="6"/>
      <c r="G10" s="40"/>
      <c r="H10" s="5"/>
      <c r="I10" s="11"/>
      <c r="J10" s="4" t="e">
        <f>(B4*J9)</f>
        <v>#REF!</v>
      </c>
      <c r="K10" s="20"/>
      <c r="L10" s="20"/>
      <c r="M10" s="20"/>
      <c r="N10" s="20"/>
      <c r="R10" s="4"/>
      <c r="S10" s="4"/>
    </row>
    <row r="11" spans="1:20" x14ac:dyDescent="0.25">
      <c r="A11" t="s">
        <v>21</v>
      </c>
      <c r="B11" s="1"/>
      <c r="C11" s="6"/>
      <c r="D11" s="40"/>
      <c r="E11" s="3"/>
      <c r="F11" s="6"/>
      <c r="G11" s="40"/>
      <c r="H11" s="5"/>
      <c r="I11" s="11"/>
      <c r="J11" s="1"/>
      <c r="K11" s="20"/>
      <c r="L11" s="20"/>
      <c r="M11" s="20"/>
      <c r="N11" s="20"/>
    </row>
    <row r="12" spans="1:20" x14ac:dyDescent="0.25">
      <c r="A12" s="17" t="s">
        <v>65</v>
      </c>
      <c r="B12" s="12"/>
      <c r="C12" s="12"/>
      <c r="D12" s="13"/>
      <c r="E12" s="12"/>
      <c r="F12" s="12"/>
      <c r="G12" s="13"/>
      <c r="H12" s="12"/>
      <c r="I12" s="13"/>
      <c r="J12" s="15" t="e">
        <f>SUM(J8:J11)</f>
        <v>#REF!</v>
      </c>
      <c r="K12" s="20"/>
      <c r="L12" s="20"/>
      <c r="M12" s="20"/>
      <c r="N12" s="20"/>
    </row>
    <row r="13" spans="1:20" x14ac:dyDescent="0.25">
      <c r="A13" s="7"/>
      <c r="D13" s="40"/>
      <c r="G13" s="40"/>
      <c r="I13" s="40"/>
      <c r="K13" s="20"/>
      <c r="L13" s="20"/>
      <c r="M13" s="20"/>
      <c r="N13" s="20"/>
    </row>
    <row r="14" spans="1:20" x14ac:dyDescent="0.25">
      <c r="A14" s="14" t="s">
        <v>11</v>
      </c>
      <c r="B14" s="12"/>
      <c r="C14" s="12"/>
      <c r="D14" s="13"/>
      <c r="E14" s="12"/>
      <c r="F14" s="12"/>
      <c r="G14" s="13"/>
      <c r="H14" s="12"/>
      <c r="I14" s="13"/>
      <c r="J14" s="12"/>
      <c r="K14" s="20"/>
      <c r="L14" s="20"/>
      <c r="M14" s="20"/>
      <c r="N14" s="20"/>
    </row>
    <row r="15" spans="1:20" x14ac:dyDescent="0.25">
      <c r="A15" t="s">
        <v>23</v>
      </c>
      <c r="B15" s="118">
        <f>IF(C1=Prices!A1,(((Feed!I19/Feed!I22)*Prices!B10)+((Feed!I20/Feed!I22)*Prices!B9)+((Feed!I21/Feed!I22)*Prices!B11)),IF(C1=Prices!A2,(((Feed!I19/Feed!I22)*Prices!C10)+((Feed!I20/Feed!I22)*Prices!C9)+((Feed!I21/Feed!I22)*Prices!C11)),IF(C1=Prices!A3,((Feed!I19/Feed!I22)*Prices!#REF!)+((Feed!I20/Feed!I22)*Prices!#REF!)+((Feed!I21/Feed!I22)*Prices!#REF!),"")))</f>
        <v>80</v>
      </c>
      <c r="C15" s="6" t="s">
        <v>26</v>
      </c>
      <c r="D15" s="40" t="s">
        <v>45</v>
      </c>
      <c r="E15" s="56">
        <f>(Feed!I22*Feedlot!B5)/2000</f>
        <v>0.24</v>
      </c>
      <c r="F15" s="6" t="s">
        <v>68</v>
      </c>
      <c r="G15" s="40"/>
      <c r="H15" s="5"/>
      <c r="I15" s="11" t="s">
        <v>7</v>
      </c>
      <c r="J15" s="118">
        <f>B15*E15</f>
        <v>19.2</v>
      </c>
      <c r="K15" s="20"/>
    </row>
    <row r="16" spans="1:20" x14ac:dyDescent="0.25">
      <c r="A16" s="26" t="s">
        <v>28</v>
      </c>
      <c r="B16" s="118" t="e">
        <f>IF(C1=Prices!A1,(((Feed!I25/Feed!I26)*Prices!B7)+((Feed!I24/Feed!I26)*Prices!#REF!)+((Feed!I23/Feed!I26)*(Prices!B6*2000)/56)),IF(C1=Prices!A2,(((Feed!I25/Feed!I26)*Prices!C7)+((Feed!I24/Feed!I26)*Prices!#REF!)+((Feed!I23/Feed!I26)*(Prices!C6*2000)/56)),IF(C1=Prices!A3,(((Feed!I25/Feed!I26)*Prices!#REF!)+((Feed!I24/Feed!I26)*Prices!#REF!)+((Feed!I23/Feed!I26)*(Prices!#REF!*2000)/56)),"")))</f>
        <v>#REF!</v>
      </c>
      <c r="C16" s="6" t="s">
        <v>26</v>
      </c>
      <c r="D16" s="40" t="s">
        <v>45</v>
      </c>
      <c r="E16" s="45">
        <f>Feed!I26*B5</f>
        <v>3520</v>
      </c>
      <c r="F16" s="6" t="s">
        <v>69</v>
      </c>
      <c r="G16" s="40"/>
      <c r="H16" s="5"/>
      <c r="I16" s="11" t="s">
        <v>7</v>
      </c>
      <c r="J16" s="118" t="e">
        <f>(B16/2000)*E16</f>
        <v>#REF!</v>
      </c>
      <c r="K16" s="20"/>
      <c r="N16" s="49"/>
    </row>
    <row r="17" spans="1:16" x14ac:dyDescent="0.25">
      <c r="A17" t="s">
        <v>27</v>
      </c>
      <c r="B17" s="118" t="e">
        <f>IF(C1=Prices!A1,Prices!#REF!, IF(C1=Prices!A2,Prices!#REF!, IF(C1=Prices!A3,Prices!#REF!, "")))</f>
        <v>#REF!</v>
      </c>
      <c r="C17" s="6" t="s">
        <v>26</v>
      </c>
      <c r="D17" s="40" t="s">
        <v>45</v>
      </c>
      <c r="E17" s="45">
        <f>Feed!I27*B5</f>
        <v>80</v>
      </c>
      <c r="F17" s="6" t="s">
        <v>69</v>
      </c>
      <c r="G17" s="40"/>
      <c r="H17" s="5"/>
      <c r="I17" s="11" t="s">
        <v>7</v>
      </c>
      <c r="J17" s="118" t="e">
        <f>(B17/2000)*E17</f>
        <v>#REF!</v>
      </c>
      <c r="K17" s="20"/>
      <c r="L17" s="87"/>
      <c r="M17" s="87"/>
      <c r="N17" s="20"/>
      <c r="O17" s="4"/>
      <c r="P17" s="4"/>
    </row>
    <row r="18" spans="1:16" x14ac:dyDescent="0.25">
      <c r="A18" t="s">
        <v>113</v>
      </c>
      <c r="B18" s="109">
        <v>0</v>
      </c>
      <c r="C18" s="6" t="s">
        <v>114</v>
      </c>
      <c r="D18" s="117" t="s">
        <v>45</v>
      </c>
      <c r="E18" s="111">
        <v>0</v>
      </c>
      <c r="F18" s="6" t="s">
        <v>115</v>
      </c>
      <c r="G18" s="117"/>
      <c r="H18" s="5"/>
      <c r="I18" s="11" t="s">
        <v>46</v>
      </c>
      <c r="J18" s="109">
        <f>B18*E18</f>
        <v>0</v>
      </c>
      <c r="K18" s="20"/>
      <c r="L18" s="87"/>
      <c r="M18" s="87"/>
      <c r="N18" s="20"/>
      <c r="O18" s="4"/>
      <c r="P18" s="4"/>
    </row>
    <row r="19" spans="1:16" x14ac:dyDescent="0.25">
      <c r="A19" t="s">
        <v>29</v>
      </c>
      <c r="B19" s="109">
        <v>20</v>
      </c>
      <c r="C19" s="6" t="s">
        <v>57</v>
      </c>
      <c r="D19" s="40" t="s">
        <v>45</v>
      </c>
      <c r="E19" s="111">
        <f>(B5/30)*0.15</f>
        <v>0.79999999999999993</v>
      </c>
      <c r="F19" s="6" t="s">
        <v>58</v>
      </c>
      <c r="G19" s="40"/>
      <c r="H19" s="5"/>
      <c r="I19" s="11" t="s">
        <v>7</v>
      </c>
      <c r="J19" s="109">
        <f>B19*E19</f>
        <v>15.999999999999998</v>
      </c>
      <c r="K19" s="20"/>
      <c r="L19" s="20"/>
      <c r="M19" s="20"/>
      <c r="N19" s="20"/>
    </row>
    <row r="20" spans="1:16" x14ac:dyDescent="0.25">
      <c r="A20" t="s">
        <v>30</v>
      </c>
      <c r="B20" s="1"/>
      <c r="C20" s="6"/>
      <c r="D20" s="40"/>
      <c r="E20" s="3"/>
      <c r="F20" s="6"/>
      <c r="G20" s="40"/>
      <c r="H20" s="5"/>
      <c r="I20" s="11"/>
      <c r="J20" s="120">
        <f>ROUND(3.39*J5,0)</f>
        <v>20</v>
      </c>
      <c r="K20" s="20"/>
      <c r="M20" s="20"/>
      <c r="N20" s="20"/>
    </row>
    <row r="21" spans="1:16" x14ac:dyDescent="0.25">
      <c r="A21" t="s">
        <v>48</v>
      </c>
      <c r="B21" s="1"/>
      <c r="C21" s="6"/>
      <c r="D21" s="40"/>
      <c r="E21" s="3"/>
      <c r="F21" s="6"/>
      <c r="G21" s="40"/>
      <c r="H21" s="5"/>
      <c r="I21" s="11"/>
      <c r="J21" s="120">
        <f>ROUND(1.91*J5,0)</f>
        <v>11</v>
      </c>
      <c r="K21" s="20"/>
      <c r="M21" s="20"/>
      <c r="N21" s="20"/>
    </row>
    <row r="22" spans="1:16" x14ac:dyDescent="0.25">
      <c r="A22" t="s">
        <v>31</v>
      </c>
      <c r="B22" s="1"/>
      <c r="C22" s="6"/>
      <c r="D22" s="40"/>
      <c r="E22" s="3"/>
      <c r="F22" s="6"/>
      <c r="G22" s="40"/>
      <c r="H22" s="5"/>
      <c r="I22" s="11"/>
      <c r="J22" s="120">
        <f>ROUND(2.18*J5,0)</f>
        <v>13</v>
      </c>
      <c r="K22" s="20"/>
      <c r="M22" s="20"/>
      <c r="N22" s="20"/>
    </row>
    <row r="23" spans="1:16" x14ac:dyDescent="0.25">
      <c r="A23" t="s">
        <v>59</v>
      </c>
      <c r="B23" s="1"/>
      <c r="C23" s="6"/>
      <c r="D23" s="40"/>
      <c r="E23" s="3"/>
      <c r="F23" s="6"/>
      <c r="G23" s="40"/>
      <c r="H23" s="5"/>
      <c r="I23" s="11"/>
      <c r="J23" s="120">
        <f>ROUND(2.7*J5,0)</f>
        <v>16</v>
      </c>
      <c r="K23" s="20"/>
      <c r="M23" s="20"/>
      <c r="N23" s="20"/>
    </row>
    <row r="24" spans="1:16" x14ac:dyDescent="0.25">
      <c r="A24" t="s">
        <v>111</v>
      </c>
      <c r="B24" s="1"/>
      <c r="C24" s="6"/>
      <c r="D24" s="116"/>
      <c r="E24" s="3"/>
      <c r="F24" s="6"/>
      <c r="G24" s="116"/>
      <c r="H24" s="5"/>
      <c r="I24" s="11"/>
      <c r="J24" s="120">
        <f>ROUND(2.85*J5,0)</f>
        <v>17</v>
      </c>
      <c r="K24" s="20"/>
      <c r="M24" s="20"/>
      <c r="N24" s="20"/>
    </row>
    <row r="25" spans="1:16" x14ac:dyDescent="0.25">
      <c r="A25" s="12" t="s">
        <v>32</v>
      </c>
      <c r="B25" s="12"/>
      <c r="C25" s="36"/>
      <c r="D25" s="13"/>
      <c r="E25" s="37"/>
      <c r="F25" s="36"/>
      <c r="G25" s="13"/>
      <c r="H25" s="38"/>
      <c r="I25" s="39"/>
      <c r="J25" s="121">
        <f>ROUND(1.42*J5,0)</f>
        <v>8</v>
      </c>
      <c r="K25" s="20"/>
      <c r="M25" s="20"/>
      <c r="N25" s="20"/>
    </row>
    <row r="26" spans="1:16" x14ac:dyDescent="0.25">
      <c r="A26" s="7" t="s">
        <v>15</v>
      </c>
      <c r="D26" s="40"/>
      <c r="G26" s="40"/>
      <c r="I26" s="40"/>
      <c r="J26" s="8" t="e">
        <f>SUM(J15:J25)</f>
        <v>#REF!</v>
      </c>
      <c r="K26" s="20"/>
      <c r="L26" s="20"/>
      <c r="M26" s="20"/>
      <c r="N26" s="20"/>
    </row>
    <row r="27" spans="1:16" x14ac:dyDescent="0.25">
      <c r="D27" s="40"/>
      <c r="G27" s="40"/>
      <c r="I27" s="40"/>
      <c r="K27" s="20"/>
      <c r="L27" s="20"/>
      <c r="M27" s="20"/>
      <c r="N27" s="20"/>
    </row>
    <row r="28" spans="1:16" x14ac:dyDescent="0.25">
      <c r="A28" s="14" t="s">
        <v>12</v>
      </c>
      <c r="B28" s="12"/>
      <c r="C28" s="12"/>
      <c r="D28" s="13"/>
      <c r="E28" s="12"/>
      <c r="F28" s="12"/>
      <c r="G28" s="13"/>
      <c r="H28" s="12"/>
      <c r="I28" s="13"/>
      <c r="J28" s="12"/>
      <c r="K28" s="20"/>
      <c r="L28" s="20"/>
      <c r="M28" s="20"/>
      <c r="N28" s="20"/>
    </row>
    <row r="29" spans="1:16" x14ac:dyDescent="0.25">
      <c r="A29" t="s">
        <v>33</v>
      </c>
      <c r="D29" s="40"/>
      <c r="G29" s="40"/>
      <c r="I29" s="40"/>
      <c r="J29" s="109">
        <v>13</v>
      </c>
      <c r="K29" s="20"/>
      <c r="L29" s="20"/>
      <c r="M29" s="20"/>
      <c r="N29" s="20"/>
    </row>
    <row r="30" spans="1:16" x14ac:dyDescent="0.25">
      <c r="A30" t="s">
        <v>63</v>
      </c>
      <c r="D30" s="40"/>
      <c r="G30" s="40"/>
      <c r="I30" s="40"/>
      <c r="J30" s="109">
        <v>1.25</v>
      </c>
      <c r="K30" s="20"/>
      <c r="L30" s="20"/>
      <c r="M30" s="20"/>
      <c r="N30" s="20"/>
    </row>
    <row r="31" spans="1:16" x14ac:dyDescent="0.25">
      <c r="A31" t="s">
        <v>61</v>
      </c>
      <c r="D31" s="40"/>
      <c r="G31" s="40"/>
      <c r="I31" s="40"/>
      <c r="J31" s="109">
        <v>4.5</v>
      </c>
      <c r="K31" s="20"/>
      <c r="L31" s="20"/>
      <c r="M31" s="20"/>
      <c r="N31" s="20"/>
    </row>
    <row r="32" spans="1:16" x14ac:dyDescent="0.25">
      <c r="A32" s="29" t="s">
        <v>60</v>
      </c>
      <c r="B32" s="29"/>
      <c r="C32" s="29"/>
      <c r="D32" s="30"/>
      <c r="E32" s="29"/>
      <c r="F32" s="29"/>
      <c r="G32" s="30"/>
      <c r="H32" s="29"/>
      <c r="I32" s="30"/>
      <c r="J32" s="113">
        <v>51</v>
      </c>
      <c r="K32" s="20"/>
      <c r="L32" s="20"/>
      <c r="M32" s="20"/>
      <c r="N32" s="20"/>
    </row>
    <row r="33" spans="1:14" x14ac:dyDescent="0.25">
      <c r="A33" s="50" t="s">
        <v>75</v>
      </c>
      <c r="B33" s="29"/>
      <c r="C33" s="29"/>
      <c r="D33" s="30"/>
      <c r="E33" s="29"/>
      <c r="F33" s="29"/>
      <c r="G33" s="30"/>
      <c r="H33" s="29"/>
      <c r="I33" s="30"/>
      <c r="J33" s="113">
        <v>0</v>
      </c>
      <c r="K33" s="20"/>
      <c r="L33" s="20"/>
      <c r="M33" s="20"/>
      <c r="N33" s="20"/>
    </row>
    <row r="34" spans="1:14" x14ac:dyDescent="0.25">
      <c r="A34" s="53" t="s">
        <v>13</v>
      </c>
      <c r="B34" s="54"/>
      <c r="C34" s="54"/>
      <c r="D34" s="52"/>
      <c r="E34" s="54"/>
      <c r="F34" s="54"/>
      <c r="G34" s="52"/>
      <c r="H34" s="54"/>
      <c r="I34" s="52"/>
      <c r="J34" s="55">
        <f>SUM(J29:J32)</f>
        <v>69.75</v>
      </c>
      <c r="K34" s="20"/>
      <c r="L34" s="20"/>
      <c r="M34" s="20"/>
      <c r="N34" s="20"/>
    </row>
    <row r="35" spans="1:14" x14ac:dyDescent="0.25">
      <c r="B35" s="1"/>
      <c r="C35" s="6"/>
      <c r="D35" s="66"/>
      <c r="E35" s="3"/>
      <c r="F35" s="6"/>
      <c r="G35" s="66"/>
      <c r="H35" s="5"/>
      <c r="I35" s="11"/>
      <c r="J35" s="1"/>
      <c r="K35" s="20"/>
      <c r="L35" s="20"/>
      <c r="M35" s="20"/>
      <c r="N35" s="20"/>
    </row>
    <row r="36" spans="1:14" x14ac:dyDescent="0.25">
      <c r="A36" s="14" t="s">
        <v>14</v>
      </c>
      <c r="B36" s="12"/>
      <c r="C36" s="12"/>
      <c r="D36" s="13"/>
      <c r="E36" s="12"/>
      <c r="F36" s="12"/>
      <c r="G36" s="13"/>
      <c r="H36" s="12"/>
      <c r="I36" s="13"/>
      <c r="J36" s="15" t="e">
        <f>J26+J34</f>
        <v>#REF!</v>
      </c>
      <c r="K36" s="87"/>
      <c r="L36" s="20"/>
      <c r="M36" s="20"/>
      <c r="N36" s="20"/>
    </row>
    <row r="37" spans="1:14" x14ac:dyDescent="0.25">
      <c r="D37" s="40"/>
      <c r="G37" s="40"/>
      <c r="I37" s="40"/>
      <c r="K37" s="20"/>
      <c r="L37" s="20"/>
      <c r="M37" s="20"/>
      <c r="N37" s="20"/>
    </row>
    <row r="38" spans="1:14" ht="15" customHeight="1" x14ac:dyDescent="0.25">
      <c r="A38" t="s">
        <v>34</v>
      </c>
      <c r="D38" s="40"/>
      <c r="G38" s="40"/>
      <c r="I38" s="40"/>
      <c r="J38" s="4" t="e">
        <f>J12-J26</f>
        <v>#REF!</v>
      </c>
      <c r="K38" s="20"/>
      <c r="L38" s="20"/>
      <c r="M38" s="20"/>
      <c r="N38" s="20"/>
    </row>
    <row r="39" spans="1:14" ht="15.75" thickBot="1" x14ac:dyDescent="0.3">
      <c r="A39" s="2" t="s">
        <v>16</v>
      </c>
      <c r="D39" s="40"/>
      <c r="G39" s="40"/>
      <c r="I39" s="40"/>
      <c r="J39" s="22" t="e">
        <f>J12-J36</f>
        <v>#REF!</v>
      </c>
      <c r="L39" s="20"/>
      <c r="M39" s="20"/>
      <c r="N39" s="20"/>
    </row>
    <row r="40" spans="1:14" ht="15.75" thickTop="1" x14ac:dyDescent="0.25"/>
    <row r="42" spans="1:14" ht="78" customHeight="1" x14ac:dyDescent="0.25">
      <c r="A42" s="28"/>
      <c r="B42" s="29"/>
      <c r="C42" s="29"/>
      <c r="D42" s="64"/>
      <c r="E42" s="29"/>
      <c r="F42" s="29"/>
      <c r="G42" s="64"/>
      <c r="H42" s="29"/>
      <c r="I42" s="64"/>
      <c r="J42" s="16"/>
    </row>
    <row r="43" spans="1:14" ht="15" customHeight="1" x14ac:dyDescent="0.25">
      <c r="A43" s="224" t="s">
        <v>42</v>
      </c>
      <c r="B43" s="232"/>
      <c r="C43" s="232"/>
      <c r="D43" s="232"/>
      <c r="E43" s="232"/>
      <c r="F43" s="232"/>
      <c r="G43" s="232"/>
      <c r="H43" s="232"/>
      <c r="I43" s="232"/>
      <c r="J43" s="232"/>
    </row>
    <row r="44" spans="1:14" ht="15.75" x14ac:dyDescent="0.25">
      <c r="A44" s="32" t="s">
        <v>95</v>
      </c>
      <c r="B44" s="32"/>
      <c r="C44" s="32"/>
      <c r="D44" s="32"/>
      <c r="E44" s="32"/>
      <c r="F44" s="32"/>
      <c r="G44" s="32"/>
      <c r="H44" s="32"/>
      <c r="I44" s="32"/>
      <c r="J44" s="32" t="e">
        <f>TEXT(#REF!,"MMM. DD, YYYY")</f>
        <v>#REF!</v>
      </c>
    </row>
    <row r="45" spans="1:14" x14ac:dyDescent="0.25">
      <c r="B45" s="35"/>
    </row>
    <row r="46" spans="1:14" ht="19.5" thickBot="1" x14ac:dyDescent="0.35">
      <c r="A46" s="219" t="s">
        <v>94</v>
      </c>
      <c r="B46" s="220"/>
      <c r="C46" s="221"/>
      <c r="D46" s="221"/>
      <c r="E46" s="221"/>
      <c r="F46" s="221"/>
      <c r="G46" s="222"/>
      <c r="H46" s="222"/>
      <c r="I46" s="222"/>
      <c r="J46" s="222"/>
    </row>
    <row r="89" spans="1:10" ht="31.5" customHeight="1" x14ac:dyDescent="0.25"/>
    <row r="90" spans="1:10" x14ac:dyDescent="0.25">
      <c r="A90" s="224" t="s">
        <v>42</v>
      </c>
      <c r="B90" s="232"/>
      <c r="C90" s="232"/>
      <c r="D90" s="232"/>
      <c r="E90" s="232"/>
      <c r="F90" s="232"/>
      <c r="G90" s="232"/>
      <c r="H90" s="232"/>
      <c r="I90" s="232"/>
      <c r="J90" s="232"/>
    </row>
    <row r="91" spans="1:10" ht="15.75" x14ac:dyDescent="0.25">
      <c r="A91" s="32" t="s">
        <v>95</v>
      </c>
      <c r="B91" s="32"/>
      <c r="C91" s="32"/>
      <c r="D91" s="32"/>
      <c r="E91" s="32"/>
      <c r="F91" s="32"/>
      <c r="G91" s="32"/>
      <c r="H91" s="32"/>
      <c r="I91" s="32"/>
      <c r="J91" s="32" t="e">
        <f>J44</f>
        <v>#REF!</v>
      </c>
    </row>
    <row r="92" spans="1:10" ht="15.75" x14ac:dyDescent="0.25">
      <c r="A92" s="61"/>
      <c r="B92" s="61"/>
      <c r="C92" s="61"/>
      <c r="D92" s="61"/>
      <c r="E92" s="61"/>
      <c r="F92" s="61"/>
      <c r="G92" s="61"/>
      <c r="H92" s="61"/>
      <c r="I92" s="61"/>
      <c r="J92" s="61"/>
    </row>
    <row r="93" spans="1:10" ht="19.5" thickBot="1" x14ac:dyDescent="0.35">
      <c r="A93" s="219" t="s">
        <v>94</v>
      </c>
      <c r="B93" s="220"/>
      <c r="C93" s="221"/>
      <c r="D93" s="221"/>
      <c r="E93" s="221"/>
      <c r="F93" s="221"/>
      <c r="G93" s="222"/>
      <c r="H93" s="222"/>
      <c r="I93" s="222"/>
      <c r="J93" s="222"/>
    </row>
    <row r="94" spans="1:10" ht="15.75" x14ac:dyDescent="0.25">
      <c r="A94" s="62" t="s">
        <v>85</v>
      </c>
    </row>
    <row r="96" spans="1:10" ht="15.75" thickBot="1" x14ac:dyDescent="0.3">
      <c r="A96" s="47" t="s">
        <v>100</v>
      </c>
      <c r="B96" s="46" t="s">
        <v>66</v>
      </c>
      <c r="C96" s="46"/>
      <c r="D96" s="46"/>
      <c r="E96" s="46"/>
    </row>
    <row r="97" spans="1:4" x14ac:dyDescent="0.25">
      <c r="A97" s="28"/>
      <c r="B97" s="14" t="s">
        <v>18</v>
      </c>
      <c r="C97" s="14" t="s">
        <v>4</v>
      </c>
    </row>
    <row r="98" spans="1:4" x14ac:dyDescent="0.25">
      <c r="A98" s="43" t="s">
        <v>108</v>
      </c>
      <c r="B98" s="56">
        <f>Feed!I19</f>
        <v>1.5</v>
      </c>
      <c r="C98" s="6" t="s">
        <v>52</v>
      </c>
      <c r="D98" s="6"/>
    </row>
    <row r="99" spans="1:4" x14ac:dyDescent="0.25">
      <c r="A99" s="43" t="s">
        <v>78</v>
      </c>
      <c r="B99" s="56">
        <f>Feed!I20</f>
        <v>0</v>
      </c>
      <c r="C99" s="6" t="s">
        <v>52</v>
      </c>
      <c r="D99" s="6"/>
    </row>
    <row r="100" spans="1:4" x14ac:dyDescent="0.25">
      <c r="A100" s="43" t="s">
        <v>51</v>
      </c>
      <c r="B100" s="56">
        <f>Feed!I21</f>
        <v>1.5</v>
      </c>
      <c r="C100" s="6" t="s">
        <v>52</v>
      </c>
      <c r="D100" s="6"/>
    </row>
    <row r="101" spans="1:4" x14ac:dyDescent="0.25">
      <c r="A101" t="s">
        <v>77</v>
      </c>
      <c r="B101" s="56">
        <f>Feed!I22</f>
        <v>3</v>
      </c>
      <c r="C101" s="6" t="s">
        <v>52</v>
      </c>
      <c r="D101" s="6"/>
    </row>
    <row r="102" spans="1:4" x14ac:dyDescent="0.25">
      <c r="A102" s="43" t="s">
        <v>53</v>
      </c>
      <c r="B102" s="56">
        <f>Feed!I23</f>
        <v>17</v>
      </c>
      <c r="C102" s="6" t="s">
        <v>52</v>
      </c>
      <c r="D102" s="6"/>
    </row>
    <row r="103" spans="1:4" x14ac:dyDescent="0.25">
      <c r="A103" s="43" t="s">
        <v>54</v>
      </c>
      <c r="B103" s="56">
        <f>Feed!I24</f>
        <v>5</v>
      </c>
      <c r="C103" s="6" t="s">
        <v>52</v>
      </c>
      <c r="D103" s="6"/>
    </row>
    <row r="104" spans="1:4" x14ac:dyDescent="0.25">
      <c r="A104" s="43" t="s">
        <v>55</v>
      </c>
      <c r="B104" s="56">
        <f>Feed!I25</f>
        <v>0</v>
      </c>
      <c r="C104" s="6" t="s">
        <v>52</v>
      </c>
      <c r="D104" s="6"/>
    </row>
    <row r="105" spans="1:4" x14ac:dyDescent="0.25">
      <c r="A105" t="s">
        <v>76</v>
      </c>
      <c r="B105" s="56">
        <f>Feed!I26</f>
        <v>22</v>
      </c>
      <c r="C105" s="6" t="s">
        <v>52</v>
      </c>
      <c r="D105" s="44"/>
    </row>
    <row r="106" spans="1:4" x14ac:dyDescent="0.25">
      <c r="A106" t="s">
        <v>40</v>
      </c>
      <c r="B106" s="67">
        <f>Feed!I27</f>
        <v>0.5</v>
      </c>
      <c r="C106" s="6" t="s">
        <v>52</v>
      </c>
    </row>
    <row r="113" spans="1:6" ht="15.75" thickBot="1" x14ac:dyDescent="0.3">
      <c r="A113" s="47" t="s">
        <v>110</v>
      </c>
      <c r="B113" s="46"/>
      <c r="C113" s="46"/>
      <c r="D113" s="46"/>
      <c r="E113" s="46"/>
      <c r="F113" s="46"/>
    </row>
    <row r="114" spans="1:6" ht="15" customHeight="1" x14ac:dyDescent="0.25">
      <c r="A114" s="57"/>
      <c r="B114" s="65" t="s">
        <v>86</v>
      </c>
      <c r="C114" s="223" t="s">
        <v>87</v>
      </c>
      <c r="D114" s="223"/>
      <c r="E114" s="233" t="s">
        <v>88</v>
      </c>
      <c r="F114" s="233"/>
    </row>
    <row r="115" spans="1:6" x14ac:dyDescent="0.25">
      <c r="A115" t="s">
        <v>97</v>
      </c>
      <c r="B115" s="58" t="e">
        <f>Prices!#REF!</f>
        <v>#REF!</v>
      </c>
      <c r="C115" s="225" t="e">
        <f>Prices!#REF!</f>
        <v>#REF!</v>
      </c>
      <c r="D115" s="225"/>
      <c r="E115" s="225" t="e">
        <f>Prices!#REF!</f>
        <v>#REF!</v>
      </c>
      <c r="F115" s="225"/>
    </row>
    <row r="116" spans="1:6" x14ac:dyDescent="0.25">
      <c r="A116" t="s">
        <v>98</v>
      </c>
      <c r="B116" s="58" t="e">
        <f>Prices!#REF!</f>
        <v>#REF!</v>
      </c>
      <c r="C116" s="218" t="e">
        <f>Prices!#REF!</f>
        <v>#REF!</v>
      </c>
      <c r="D116" s="218"/>
      <c r="E116" s="218" t="e">
        <f>Prices!#REF!</f>
        <v>#REF!</v>
      </c>
      <c r="F116" s="218"/>
    </row>
    <row r="117" spans="1:6" x14ac:dyDescent="0.25">
      <c r="A117" t="s">
        <v>9</v>
      </c>
      <c r="B117" s="58">
        <f>Prices!B6</f>
        <v>305</v>
      </c>
      <c r="C117" s="218">
        <f>Prices!C6</f>
        <v>304.8</v>
      </c>
      <c r="D117" s="218"/>
      <c r="E117" s="218" t="e">
        <f>Prices!#REF!</f>
        <v>#REF!</v>
      </c>
      <c r="F117" s="218"/>
    </row>
    <row r="118" spans="1:6" x14ac:dyDescent="0.25">
      <c r="A118" t="s">
        <v>10</v>
      </c>
      <c r="B118" s="58">
        <f>Prices!B7</f>
        <v>4.87</v>
      </c>
      <c r="C118" s="218">
        <f>Prices!C7</f>
        <v>5.4766541471048509</v>
      </c>
      <c r="D118" s="218"/>
      <c r="E118" s="218" t="e">
        <f>Prices!#REF!</f>
        <v>#REF!</v>
      </c>
      <c r="F118" s="218"/>
    </row>
    <row r="119" spans="1:6" x14ac:dyDescent="0.25">
      <c r="A119" t="s">
        <v>89</v>
      </c>
      <c r="B119" s="58" t="e">
        <f>Prices!#REF!</f>
        <v>#REF!</v>
      </c>
      <c r="C119" s="218" t="e">
        <f>Prices!#REF!</f>
        <v>#REF!</v>
      </c>
      <c r="D119" s="218"/>
      <c r="E119" s="218" t="e">
        <f>Prices!#REF!</f>
        <v>#REF!</v>
      </c>
      <c r="F119" s="218"/>
    </row>
    <row r="120" spans="1:6" x14ac:dyDescent="0.25">
      <c r="A120" t="s">
        <v>83</v>
      </c>
      <c r="B120" s="58">
        <f>Prices!B9</f>
        <v>25.56</v>
      </c>
      <c r="C120" s="218">
        <f>Prices!C9</f>
        <v>28.743999999999996</v>
      </c>
      <c r="D120" s="218"/>
      <c r="E120" s="218" t="e">
        <f>Prices!#REF!</f>
        <v>#REF!</v>
      </c>
      <c r="F120" s="218"/>
    </row>
    <row r="121" spans="1:6" x14ac:dyDescent="0.25">
      <c r="A121" t="s">
        <v>70</v>
      </c>
      <c r="B121" s="58">
        <f>Prices!B10</f>
        <v>60</v>
      </c>
      <c r="C121" s="218">
        <f>Prices!C10</f>
        <v>67.474178403755872</v>
      </c>
      <c r="D121" s="218"/>
      <c r="E121" s="218" t="e">
        <f>Prices!#REF!</f>
        <v>#REF!</v>
      </c>
      <c r="F121" s="218"/>
    </row>
    <row r="122" spans="1:6" x14ac:dyDescent="0.25">
      <c r="A122" t="s">
        <v>71</v>
      </c>
      <c r="B122" s="58">
        <f>Prices!B11</f>
        <v>100</v>
      </c>
      <c r="C122" s="218">
        <f>Prices!C11</f>
        <v>112.45696400625977</v>
      </c>
      <c r="D122" s="218"/>
      <c r="E122" s="218" t="e">
        <f>Prices!#REF!</f>
        <v>#REF!</v>
      </c>
      <c r="F122" s="218"/>
    </row>
    <row r="123" spans="1:6" x14ac:dyDescent="0.25">
      <c r="A123" t="s">
        <v>72</v>
      </c>
      <c r="B123" s="58">
        <f>Prices!B12</f>
        <v>19.760000000000002</v>
      </c>
      <c r="C123" s="218">
        <f>Prices!C12</f>
        <v>20.155200000000001</v>
      </c>
      <c r="D123" s="218"/>
      <c r="E123" s="218" t="e">
        <f>Prices!#REF!</f>
        <v>#REF!</v>
      </c>
      <c r="F123" s="218"/>
    </row>
    <row r="124" spans="1:6" x14ac:dyDescent="0.25">
      <c r="A124" t="s">
        <v>73</v>
      </c>
      <c r="B124" s="58" t="e">
        <f>Prices!#REF!</f>
        <v>#REF!</v>
      </c>
      <c r="C124" s="218" t="e">
        <f>Prices!#REF!</f>
        <v>#REF!</v>
      </c>
      <c r="D124" s="218"/>
      <c r="E124" s="218" t="e">
        <f>Prices!#REF!</f>
        <v>#REF!</v>
      </c>
      <c r="F124" s="218"/>
    </row>
    <row r="125" spans="1:6" x14ac:dyDescent="0.25">
      <c r="A125" t="s">
        <v>74</v>
      </c>
      <c r="B125" s="58" t="e">
        <f>Prices!#REF!</f>
        <v>#REF!</v>
      </c>
      <c r="C125" s="218" t="e">
        <f>Prices!#REF!</f>
        <v>#REF!</v>
      </c>
      <c r="D125" s="218"/>
      <c r="E125" s="218" t="e">
        <f>Prices!#REF!</f>
        <v>#REF!</v>
      </c>
      <c r="F125" s="218"/>
    </row>
    <row r="126" spans="1:6" x14ac:dyDescent="0.25">
      <c r="B126" s="58"/>
      <c r="C126" s="63"/>
      <c r="D126" s="64"/>
      <c r="E126" s="63"/>
      <c r="F126" s="64"/>
    </row>
    <row r="127" spans="1:6" ht="72.75" customHeight="1" x14ac:dyDescent="0.25">
      <c r="B127" s="58"/>
      <c r="C127" s="63"/>
      <c r="D127" s="64"/>
      <c r="E127" s="63"/>
      <c r="F127" s="64"/>
    </row>
    <row r="128" spans="1:6" x14ac:dyDescent="0.25">
      <c r="B128" s="58"/>
      <c r="C128" s="63"/>
      <c r="D128" s="64"/>
      <c r="E128" s="63"/>
      <c r="F128" s="64"/>
    </row>
    <row r="129" spans="1:10"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A133" s="224" t="s">
        <v>42</v>
      </c>
      <c r="B133" s="232"/>
      <c r="C133" s="232"/>
      <c r="D133" s="232"/>
      <c r="E133" s="232"/>
      <c r="F133" s="232"/>
      <c r="G133" s="232"/>
      <c r="H133" s="232"/>
      <c r="I133" s="232"/>
      <c r="J133" s="232"/>
    </row>
    <row r="134" spans="1:10" ht="15.75" x14ac:dyDescent="0.25">
      <c r="A134" s="32" t="s">
        <v>95</v>
      </c>
      <c r="B134" s="32"/>
      <c r="C134" s="32"/>
      <c r="D134" s="32"/>
      <c r="E134" s="32"/>
      <c r="F134" s="32"/>
      <c r="G134" s="32"/>
      <c r="H134" s="32"/>
      <c r="I134" s="32"/>
      <c r="J134" s="32" t="e">
        <f>J91</f>
        <v>#REF!</v>
      </c>
    </row>
  </sheetData>
  <sheetProtection sheet="1" objects="1" scenarios="1"/>
  <mergeCells count="38">
    <mergeCell ref="C125:D125"/>
    <mergeCell ref="E125:F125"/>
    <mergeCell ref="A133:J133"/>
    <mergeCell ref="I4:J4"/>
    <mergeCell ref="C122:D122"/>
    <mergeCell ref="E122:F122"/>
    <mergeCell ref="C123:D123"/>
    <mergeCell ref="E123:F123"/>
    <mergeCell ref="C124:D124"/>
    <mergeCell ref="E124:F124"/>
    <mergeCell ref="C119:D119"/>
    <mergeCell ref="E119:F119"/>
    <mergeCell ref="C120:D120"/>
    <mergeCell ref="E120:F120"/>
    <mergeCell ref="C121:D121"/>
    <mergeCell ref="E121:F121"/>
    <mergeCell ref="C117:D117"/>
    <mergeCell ref="E117:F117"/>
    <mergeCell ref="C118:D118"/>
    <mergeCell ref="E118:F118"/>
    <mergeCell ref="C114:D114"/>
    <mergeCell ref="E114:F114"/>
    <mergeCell ref="C115:D115"/>
    <mergeCell ref="E115:F115"/>
    <mergeCell ref="C116:D116"/>
    <mergeCell ref="E116:F116"/>
    <mergeCell ref="A46:B46"/>
    <mergeCell ref="C46:F46"/>
    <mergeCell ref="G46:J46"/>
    <mergeCell ref="A90:J90"/>
    <mergeCell ref="A93:B93"/>
    <mergeCell ref="C93:F93"/>
    <mergeCell ref="G93:J93"/>
    <mergeCell ref="A1:B1"/>
    <mergeCell ref="C1:F1"/>
    <mergeCell ref="G1:J1"/>
    <mergeCell ref="C5:E5"/>
    <mergeCell ref="A43:J43"/>
  </mergeCells>
  <dataValidations count="1">
    <dataValidation type="list" showInputMessage="1" showErrorMessage="1" prompt="Select a price horizon to budget from" sqref="C1">
      <formula1>price_selections</formula1>
    </dataValidation>
  </dataValidations>
  <pageMargins left="0.5" right="0.5" top="0.75" bottom="0.5" header="0.3" footer="0"/>
  <pageSetup scale="99" orientation="portrait" horizontalDpi="4294967295" verticalDpi="4294967295" r:id="rId1"/>
  <headerFooter>
    <oddHeader>&amp;L&amp;"-,Bold"&amp;20FARM MANAGEMENT GUIDE</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6405" r:id="rId4" name="Button 21">
              <controlPr defaultSize="0" print="0" autoFill="0" autoPict="0" macro="[0]!PrintFinishingBudget">
                <anchor moveWithCells="1">
                  <from>
                    <xdr:col>10</xdr:col>
                    <xdr:colOff>609600</xdr:colOff>
                    <xdr:row>4</xdr:row>
                    <xdr:rowOff>38100</xdr:rowOff>
                  </from>
                  <to>
                    <xdr:col>14</xdr:col>
                    <xdr:colOff>447675</xdr:colOff>
                    <xdr:row>6</xdr:row>
                    <xdr:rowOff>9525</xdr:rowOff>
                  </to>
                </anchor>
              </controlPr>
            </control>
          </mc:Choice>
        </mc:AlternateContent>
        <mc:AlternateContent xmlns:mc="http://schemas.openxmlformats.org/markup-compatibility/2006">
          <mc:Choice Requires="x14">
            <control shapeId="16406" r:id="rId5" name="Button 22">
              <controlPr defaultSize="0" print="0" autoFill="0" autoPict="0" macro="[0]!PrintFinishingPage">
                <anchor moveWithCells="1" sizeWithCells="1">
                  <from>
                    <xdr:col>11</xdr:col>
                    <xdr:colOff>9525</xdr:colOff>
                    <xdr:row>6</xdr:row>
                    <xdr:rowOff>180975</xdr:rowOff>
                  </from>
                  <to>
                    <xdr:col>14</xdr:col>
                    <xdr:colOff>466725</xdr:colOff>
                    <xdr:row>7</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Introduction</vt:lpstr>
      <vt:lpstr>Prices</vt:lpstr>
      <vt:lpstr>Feed</vt:lpstr>
      <vt:lpstr>Once a Year Lambing</vt:lpstr>
      <vt:lpstr>Stocker</vt:lpstr>
      <vt:lpstr>Feedlot</vt:lpstr>
      <vt:lpstr>price_selections</vt:lpstr>
      <vt:lpstr>Feed!Print_Area</vt:lpstr>
      <vt:lpstr>Feedlot!Print_Area</vt:lpstr>
      <vt:lpstr>Introduction!Print_Area</vt:lpstr>
      <vt:lpstr>'Once a Year Lambing'!Print_Area</vt:lpstr>
      <vt:lpstr>Prices!Print_Area</vt:lpstr>
      <vt:lpstr>Stocker!Print_Area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Glynn Tonsor</dc:creator>
  <cp:lastModifiedBy>robinreid</cp:lastModifiedBy>
  <cp:lastPrinted>2016-12-19T21:55:05Z</cp:lastPrinted>
  <dcterms:created xsi:type="dcterms:W3CDTF">2015-02-05T18:15:32Z</dcterms:created>
  <dcterms:modified xsi:type="dcterms:W3CDTF">2016-12-19T21:55:12Z</dcterms:modified>
</cp:coreProperties>
</file>