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ial Series Updated Material\"/>
    </mc:Choice>
  </mc:AlternateContent>
  <bookViews>
    <workbookView xWindow="0" yWindow="0" windowWidth="28800" windowHeight="13275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C52" i="3" l="1"/>
  <c r="C54" i="3" l="1"/>
  <c r="C45" i="3"/>
  <c r="C20" i="3"/>
  <c r="H17" i="3" l="1"/>
  <c r="H16" i="3"/>
  <c r="H15" i="3"/>
  <c r="H18" i="3"/>
  <c r="B49" i="3"/>
  <c r="B43" i="3"/>
  <c r="B48" i="3"/>
  <c r="B17" i="3"/>
  <c r="B5" i="3"/>
  <c r="B6" i="3"/>
  <c r="H12" i="3" l="1"/>
  <c r="H19" i="3"/>
  <c r="B8" i="3"/>
  <c r="C54" i="2"/>
  <c r="B54" i="2"/>
  <c r="D51" i="2"/>
  <c r="D48" i="2"/>
  <c r="D54" i="2" s="1"/>
  <c r="C8" i="2"/>
  <c r="B8" i="2"/>
  <c r="H11" i="3" l="1"/>
  <c r="N4" i="4"/>
  <c r="F18" i="4"/>
  <c r="G18" i="4"/>
  <c r="H18" i="4"/>
  <c r="I18" i="4"/>
  <c r="J18" i="4"/>
  <c r="K18" i="4"/>
  <c r="L18" i="4"/>
  <c r="M18" i="4"/>
  <c r="N18" i="4"/>
  <c r="O18" i="4"/>
  <c r="P18" i="4"/>
  <c r="E18" i="4"/>
  <c r="O38" i="4"/>
  <c r="L38" i="4"/>
  <c r="I38" i="4"/>
  <c r="F38" i="4"/>
  <c r="D35" i="4"/>
  <c r="D33" i="4"/>
  <c r="G36" i="4"/>
  <c r="P36" i="4" s="1"/>
  <c r="I34" i="4"/>
  <c r="P34" i="4" s="1"/>
  <c r="J32" i="4"/>
  <c r="D30" i="4"/>
  <c r="D27" i="4"/>
  <c r="F23" i="4"/>
  <c r="G23" i="4"/>
  <c r="H23" i="4"/>
  <c r="I23" i="4"/>
  <c r="J23" i="4"/>
  <c r="K23" i="4"/>
  <c r="L23" i="4"/>
  <c r="M23" i="4"/>
  <c r="N23" i="4"/>
  <c r="O23" i="4"/>
  <c r="P23" i="4"/>
  <c r="E23" i="4"/>
  <c r="I22" i="4"/>
  <c r="J22" i="4"/>
  <c r="K22" i="4"/>
  <c r="L22" i="4"/>
  <c r="M22" i="4"/>
  <c r="D12" i="4" l="1"/>
  <c r="O11" i="4"/>
  <c r="P10" i="4"/>
  <c r="O10" i="4" s="1"/>
  <c r="O9" i="4"/>
  <c r="E9" i="4" s="1"/>
  <c r="D9" i="4" s="1"/>
  <c r="D13" i="4"/>
  <c r="D4" i="4"/>
  <c r="P45" i="4"/>
  <c r="O45" i="4"/>
  <c r="N45" i="4"/>
  <c r="M45" i="4"/>
  <c r="L45" i="4"/>
  <c r="K45" i="4"/>
  <c r="J45" i="4"/>
  <c r="I45" i="4"/>
  <c r="H45" i="4"/>
  <c r="G45" i="4"/>
  <c r="F45" i="4"/>
  <c r="E45" i="4"/>
  <c r="D44" i="4"/>
  <c r="D43" i="4"/>
  <c r="D42" i="4"/>
  <c r="D41" i="4"/>
  <c r="D40" i="4"/>
  <c r="D39" i="4"/>
  <c r="D38" i="4"/>
  <c r="D37" i="4"/>
  <c r="D36" i="4"/>
  <c r="D34" i="4"/>
  <c r="D32" i="4"/>
  <c r="D31" i="4"/>
  <c r="D29" i="4"/>
  <c r="D28" i="4"/>
  <c r="D26" i="4"/>
  <c r="D25" i="4"/>
  <c r="D24" i="4"/>
  <c r="D23" i="4"/>
  <c r="D22" i="4"/>
  <c r="D45" i="4" s="1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8" i="4"/>
  <c r="D6" i="4"/>
  <c r="D5" i="4"/>
  <c r="P11" i="4" l="1"/>
  <c r="D11" i="4" s="1"/>
  <c r="F47" i="4"/>
  <c r="J47" i="4"/>
  <c r="P19" i="4"/>
  <c r="P47" i="4" s="1"/>
  <c r="O19" i="4"/>
  <c r="O47" i="4" s="1"/>
  <c r="I47" i="4"/>
  <c r="M47" i="4"/>
  <c r="D10" i="4"/>
  <c r="E19" i="4"/>
  <c r="E47" i="4" s="1"/>
  <c r="E48" i="4" s="1"/>
  <c r="F48" i="4" s="1"/>
  <c r="G48" i="4" s="1"/>
  <c r="H47" i="4"/>
  <c r="L47" i="4"/>
  <c r="N47" i="4"/>
  <c r="G47" i="4"/>
  <c r="K47" i="4"/>
  <c r="H48" i="4" l="1"/>
  <c r="I48" i="4" s="1"/>
  <c r="J48" i="4" s="1"/>
  <c r="K48" i="4" s="1"/>
  <c r="L48" i="4" s="1"/>
  <c r="M48" i="4" s="1"/>
  <c r="N48" i="4" s="1"/>
  <c r="O48" i="4" s="1"/>
  <c r="P48" i="4" s="1"/>
  <c r="D19" i="4"/>
  <c r="D47" i="4" s="1"/>
  <c r="F1" i="3"/>
  <c r="J1" i="4" s="1"/>
  <c r="B1" i="3"/>
  <c r="F1" i="4" s="1"/>
  <c r="B12" i="3"/>
  <c r="B11" i="3"/>
  <c r="B14" i="3" l="1"/>
  <c r="B41" i="3"/>
  <c r="B18" i="3"/>
  <c r="C25" i="3" l="1"/>
  <c r="H14" i="3" l="1"/>
  <c r="H13" i="3"/>
  <c r="D5" i="2"/>
  <c r="D6" i="2"/>
  <c r="D7" i="2"/>
  <c r="D8" i="2"/>
  <c r="D9" i="2"/>
  <c r="D10" i="2"/>
  <c r="D11" i="2"/>
  <c r="C40" i="2"/>
  <c r="B40" i="2"/>
  <c r="D38" i="2"/>
  <c r="D37" i="2"/>
  <c r="D36" i="2"/>
  <c r="C34" i="2"/>
  <c r="B34" i="2"/>
  <c r="D32" i="2"/>
  <c r="D31" i="2"/>
  <c r="D30" i="2"/>
  <c r="D29" i="2"/>
  <c r="D28" i="2"/>
  <c r="D27" i="2"/>
  <c r="C21" i="2"/>
  <c r="D21" i="2" s="1"/>
  <c r="B21" i="2"/>
  <c r="D19" i="2"/>
  <c r="D18" i="2"/>
  <c r="D17" i="2"/>
  <c r="D16" i="2"/>
  <c r="D15" i="2"/>
  <c r="C13" i="2"/>
  <c r="B13" i="2"/>
  <c r="C23" i="2" l="1"/>
  <c r="C49" i="2" s="1"/>
  <c r="B23" i="2"/>
  <c r="D1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/>
  <c r="I8" i="2" s="1"/>
  <c r="B49" i="2" l="1"/>
  <c r="I6" i="2"/>
  <c r="I7" i="2"/>
  <c r="J14" i="2"/>
  <c r="D23" i="2"/>
  <c r="D52" i="2"/>
  <c r="D49" i="2"/>
  <c r="C55" i="2"/>
  <c r="J16" i="2" s="1"/>
  <c r="I7" i="3"/>
  <c r="D42" i="2"/>
  <c r="K6" i="2" s="1"/>
  <c r="C44" i="2"/>
  <c r="H9" i="3"/>
  <c r="H8" i="3"/>
  <c r="K4" i="2"/>
  <c r="J4" i="3"/>
  <c r="J5" i="3"/>
  <c r="J6" i="3" s="1"/>
  <c r="H7" i="3"/>
  <c r="J6" i="2"/>
  <c r="K5" i="2"/>
  <c r="B46" i="2"/>
  <c r="J15" i="2" l="1"/>
  <c r="I14" i="2"/>
  <c r="B55" i="2"/>
  <c r="I16" i="2" s="1"/>
  <c r="K14" i="2"/>
  <c r="D55" i="2"/>
  <c r="K16" i="2" s="1"/>
  <c r="D44" i="2"/>
  <c r="J7" i="3"/>
  <c r="J8" i="2"/>
  <c r="I9" i="3"/>
  <c r="I8" i="3"/>
  <c r="C46" i="2"/>
  <c r="D46" i="2" s="1"/>
  <c r="J7" i="2"/>
  <c r="I15" i="2" l="1"/>
  <c r="K15" i="2"/>
  <c r="J8" i="3"/>
  <c r="K8" i="2"/>
  <c r="K7" i="2"/>
  <c r="J9" i="3"/>
</calcChain>
</file>

<file path=xl/comments1.xml><?xml version="1.0" encoding="utf-8"?>
<comments xmlns="http://schemas.openxmlformats.org/spreadsheetml/2006/main">
  <authors>
    <author>robinreid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robinreid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>
      <text>
        <r>
          <rPr>
            <b/>
            <sz val="9"/>
            <color indexed="81"/>
            <rFont val="Tahoma"/>
            <family val="2"/>
          </rPr>
          <t xml:space="preserve">(Line 26A + 26B)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0" authorId="0" shapeId="0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 xml:space="preserve">Sum of Lines 25-27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 xml:space="preserve">Line 6-Line 28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<sst xmlns="http://schemas.openxmlformats.org/spreadsheetml/2006/main" count="246" uniqueCount="216">
  <si>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</si>
  <si>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</si>
  <si>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</si>
  <si>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</si>
  <si>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</si>
  <si>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</si>
  <si>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</si>
  <si>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</si>
  <si>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</si>
  <si>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</si>
  <si>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</si>
  <si>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</si>
  <si>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</si>
  <si>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</si>
  <si>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</si>
  <si>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</si>
  <si>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</si>
  <si>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</si>
  <si>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</si>
  <si>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</si>
  <si>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</si>
  <si>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</si>
  <si>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r>
      <rPr>
        <b/>
        <sz val="12"/>
        <color rgb="FF0070C0"/>
        <rFont val="Calibri"/>
        <family val="2"/>
        <scheme val="minor"/>
      </rPr>
      <t>Blue</t>
    </r>
    <r>
      <rPr>
        <sz val="12"/>
        <rFont val="Calibri"/>
        <family val="2"/>
        <scheme val="minor"/>
      </rPr>
      <t xml:space="preserve"> values are inputs that need to be entered for your operation.  Black values are automatically calculated.</t>
    </r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</si>
  <si>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</si>
  <si>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</si>
  <si>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</si>
  <si>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</si>
  <si>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</si>
  <si>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</si>
  <si>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</si>
  <si>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</si>
  <si>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</si>
  <si>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</si>
  <si>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</si>
  <si>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</si>
  <si>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</si>
  <si>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</si>
  <si>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</si>
  <si>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</si>
  <si>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</si>
  <si>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</si>
  <si>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</si>
  <si>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</si>
  <si>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</si>
  <si>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</si>
  <si>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</si>
  <si>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</si>
  <si>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</si>
  <si>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</si>
  <si>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</si>
  <si>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</si>
  <si>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</si>
  <si>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</si>
  <si>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</si>
  <si>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</si>
  <si>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</si>
  <si>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</si>
  <si>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</si>
  <si>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</si>
  <si>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</si>
  <si>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</si>
  <si>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</si>
  <si>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</si>
  <si>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</si>
  <si>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</si>
  <si>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</si>
  <si>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</si>
  <si>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</si>
  <si>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</si>
  <si>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</si>
  <si>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</si>
  <si>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</si>
  <si>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</si>
  <si>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</si>
  <si>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</si>
  <si>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</si>
  <si>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</si>
  <si>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</si>
  <si>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</si>
  <si>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</si>
  <si>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</si>
  <si>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17) Fuel and Utilities …………………………………………………………</t>
  </si>
  <si>
    <t>18) Property Tax ………………………………………………………………..</t>
  </si>
  <si>
    <t>19) Real Estate Tax…………………………………………………………….</t>
  </si>
  <si>
    <t>20) General Farm Insurance ………………………………………………</t>
  </si>
  <si>
    <t>21) Crop Insurance Premiums ………………………………………….</t>
  </si>
  <si>
    <t>22) Cash Rent……………………………………………………………………..</t>
  </si>
  <si>
    <t>27) Depreciation ………………………………………………………………..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</si>
  <si>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</si>
  <si>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</si>
  <si>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</si>
  <si>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</si>
  <si>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</si>
  <si>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</si>
  <si>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</si>
  <si>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</si>
  <si>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</si>
  <si>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</si>
  <si>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</si>
  <si>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</si>
  <si>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</si>
  <si>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</si>
  <si>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</si>
  <si>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</si>
  <si>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</si>
  <si>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</si>
  <si>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</si>
  <si>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</si>
  <si>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</si>
  <si>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</si>
  <si>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</si>
  <si>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</si>
  <si>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</si>
  <si>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</si>
  <si>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</si>
  <si>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</si>
  <si>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</si>
  <si>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</si>
  <si>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</si>
  <si>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</si>
  <si>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</si>
  <si>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</si>
  <si>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</si>
  <si>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</si>
  <si>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Fuel and Utilities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</si>
  <si>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</si>
  <si>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</si>
  <si>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</si>
  <si>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</si>
  <si>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</si>
  <si>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</si>
  <si>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</si>
  <si>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</si>
  <si>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</si>
  <si>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>PROJECTED OPERATING LOAN BALANCE      (Operating Loan Carried Over from Last Period = )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</si>
  <si>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</si>
  <si>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</si>
  <si>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</si>
  <si>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</si>
  <si>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</si>
  <si>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</si>
  <si>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</si>
  <si>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</si>
  <si>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</si>
  <si>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</si>
  <si>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</si>
  <si>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</si>
  <si>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</si>
  <si>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</si>
  <si>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</si>
  <si>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</si>
  <si>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</si>
  <si>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</si>
  <si>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</si>
  <si>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</si>
  <si>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</si>
  <si>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 xml:space="preserve">TOTAL CASH INFLOW </t>
  </si>
  <si>
    <t xml:space="preserve">TOTAL CASH OUTFLOWS </t>
  </si>
  <si>
    <t>NET CASH FLOW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</si>
  <si>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</si>
  <si>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</si>
  <si>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</si>
  <si>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</si>
  <si>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</si>
  <si>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</si>
  <si>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</si>
  <si>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</si>
  <si>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</si>
  <si>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</si>
  <si>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</si>
  <si>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</si>
  <si>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</si>
  <si>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</si>
  <si>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</si>
  <si>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</si>
  <si>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</si>
  <si>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</si>
  <si>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</si>
  <si>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</si>
  <si>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</si>
  <si>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23) Miscellaneous ……………………………………………………………..</t>
  </si>
  <si>
    <t>24) Expense Inventory Adjustment ………………………………….</t>
  </si>
  <si>
    <t>25) ACCRUED OPERATING EXPENSES</t>
  </si>
  <si>
    <t>26) Total Interest Expenses…………………………………………………</t>
  </si>
  <si>
    <t>29) NET FARM INCOME……………………………...…………………………</t>
  </si>
  <si>
    <t>28) TOTAL FARM BUSINESS EXPENSES…………………...……………</t>
  </si>
  <si>
    <t>30) Value of Unpaid Labor and Management……………………..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</si>
  <si>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</si>
  <si>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</si>
  <si>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</si>
  <si>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</si>
  <si>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</si>
  <si>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</si>
  <si>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</si>
  <si>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</si>
  <si>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</si>
  <si>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 xml:space="preserve">     26A) Cash Interest Paid………………………………………………………..</t>
  </si>
  <si>
    <t xml:space="preserve">     26B) Accrued Interest Adjustment………………………………………</t>
  </si>
  <si>
    <t>Version- 8.15.2017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</si>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</sst>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2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9"/>
      <color indexed="81"/>
      <name val="Tahoma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5">
    <xf numFmtId="0" fontId="0" fillId="0" borderId="0" xfId="0"/>
    <xf numFmtId="0" fontId="4" fillId="0" borderId="0" xfId="1" applyProtection="1"/>
    <xf numFmtId="0" fontId="5" fillId="2" borderId="2" xfId="1" applyFont="1" applyFill="1" applyBorder="1" applyProtection="1"/>
    <xf numFmtId="0" fontId="5" fillId="2" borderId="3" xfId="1" applyFont="1" applyFill="1" applyBorder="1" applyProtection="1"/>
    <xf numFmtId="0" fontId="5" fillId="2" borderId="4" xfId="1" applyFont="1" applyFill="1" applyBorder="1" applyProtection="1"/>
    <xf numFmtId="0" fontId="6" fillId="2" borderId="5" xfId="1" applyFont="1" applyFill="1" applyBorder="1" applyAlignment="1" applyProtection="1"/>
    <xf numFmtId="0" fontId="7" fillId="2" borderId="0" xfId="1" applyFont="1" applyFill="1" applyAlignment="1" applyProtection="1"/>
    <xf numFmtId="0" fontId="8" fillId="2" borderId="0" xfId="1" applyFont="1" applyFill="1" applyBorder="1" applyProtection="1"/>
    <xf numFmtId="0" fontId="5" fillId="2" borderId="0" xfId="1" applyFont="1" applyFill="1" applyBorder="1" applyProtection="1"/>
    <xf numFmtId="0" fontId="5" fillId="2" borderId="6" xfId="1" applyFont="1" applyFill="1" applyBorder="1" applyProtection="1"/>
    <xf numFmtId="0" fontId="8" fillId="2" borderId="5" xfId="1" applyFont="1" applyFill="1" applyBorder="1" applyProtection="1"/>
    <xf numFmtId="0" fontId="9" fillId="2" borderId="0" xfId="1" applyFont="1" applyFill="1" applyBorder="1" applyAlignment="1" applyProtection="1">
      <alignment horizontal="left"/>
    </xf>
    <xf numFmtId="0" fontId="10" fillId="2" borderId="0" xfId="1" applyFont="1" applyFill="1" applyAlignment="1" applyProtection="1">
      <alignment horizontal="left"/>
    </xf>
    <xf numFmtId="0" fontId="11" fillId="2" borderId="0" xfId="1" applyFont="1" applyFill="1" applyAlignment="1" applyProtection="1"/>
    <xf numFmtId="0" fontId="5" fillId="2" borderId="5" xfId="1" applyFont="1" applyFill="1" applyBorder="1" applyAlignment="1" applyProtection="1">
      <alignment horizontal="center"/>
    </xf>
    <xf numFmtId="0" fontId="15" fillId="2" borderId="0" xfId="1" applyFont="1" applyFill="1" applyAlignment="1" applyProtection="1">
      <alignment wrapText="1"/>
    </xf>
    <xf numFmtId="0" fontId="16" fillId="2" borderId="0" xfId="1" applyFont="1" applyFill="1" applyBorder="1" applyProtection="1"/>
    <xf numFmtId="0" fontId="17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1" xfId="1" applyFont="1" applyFill="1" applyBorder="1" applyProtection="1"/>
    <xf numFmtId="0" fontId="16" fillId="2" borderId="1" xfId="1" applyFont="1" applyFill="1" applyBorder="1" applyProtection="1"/>
    <xf numFmtId="0" fontId="18" fillId="2" borderId="8" xfId="1" applyFont="1" applyFill="1" applyBorder="1" applyAlignment="1" applyProtection="1">
      <alignment horizontal="right"/>
    </xf>
    <xf numFmtId="0" fontId="20" fillId="0" borderId="0" xfId="1" applyFont="1" applyProtection="1"/>
    <xf numFmtId="0" fontId="20" fillId="0" borderId="0" xfId="1" applyFont="1" applyFill="1" applyBorder="1" applyProtection="1"/>
    <xf numFmtId="0" fontId="23" fillId="0" borderId="0" xfId="1" applyFont="1" applyProtection="1"/>
    <xf numFmtId="0" fontId="23" fillId="0" borderId="0" xfId="1" applyFont="1" applyFill="1" applyProtection="1"/>
    <xf numFmtId="0" fontId="23" fillId="0" borderId="0" xfId="1" applyFont="1" applyAlignment="1" applyProtection="1">
      <alignment vertical="center" wrapText="1"/>
    </xf>
    <xf numFmtId="0" fontId="22" fillId="0" borderId="0" xfId="1" applyFont="1" applyAlignment="1" applyProtection="1">
      <alignment wrapText="1"/>
    </xf>
    <xf numFmtId="0" fontId="21" fillId="0" borderId="0" xfId="1" applyFont="1" applyProtection="1"/>
    <xf numFmtId="0" fontId="22" fillId="0" borderId="0" xfId="1" applyFont="1" applyProtection="1"/>
    <xf numFmtId="0" fontId="22" fillId="0" borderId="0" xfId="1" applyFont="1" applyAlignment="1" applyProtection="1">
      <alignment horizontal="center"/>
    </xf>
    <xf numFmtId="0" fontId="26" fillId="0" borderId="0" xfId="1" applyFont="1" applyProtection="1"/>
    <xf numFmtId="0" fontId="27" fillId="0" borderId="0" xfId="3" applyFont="1" applyAlignment="1" applyProtection="1"/>
    <xf numFmtId="0" fontId="27" fillId="0" borderId="0" xfId="2" applyFont="1" applyAlignment="1" applyProtection="1"/>
    <xf numFmtId="0" fontId="22" fillId="0" borderId="0" xfId="3" applyFont="1" applyFill="1" applyAlignment="1" applyProtection="1"/>
    <xf numFmtId="0" fontId="22" fillId="0" borderId="0" xfId="1" applyFont="1" applyFill="1" applyAlignment="1" applyProtection="1"/>
    <xf numFmtId="0" fontId="22" fillId="0" borderId="0" xfId="1" applyFont="1" applyAlignment="1" applyProtection="1"/>
    <xf numFmtId="0" fontId="25" fillId="0" borderId="0" xfId="2" applyAlignment="1" applyProtection="1">
      <alignment horizontal="center"/>
    </xf>
    <xf numFmtId="164" fontId="30" fillId="0" borderId="0" xfId="0" applyNumberFormat="1" applyFont="1" applyBorder="1" applyProtection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30" fillId="0" borderId="0" xfId="0" applyFont="1" applyBorder="1" applyProtection="1"/>
    <xf numFmtId="0" fontId="0" fillId="0" borderId="16" xfId="0" applyBorder="1" applyAlignment="1" applyProtection="1">
      <alignment horizontal="center"/>
      <protection locked="0"/>
    </xf>
    <xf numFmtId="164" fontId="32" fillId="3" borderId="1" xfId="4" applyNumberFormat="1" applyBorder="1" applyAlignment="1" applyProtection="1">
      <alignment horizontal="center"/>
      <protection locked="0"/>
    </xf>
    <xf numFmtId="164" fontId="32" fillId="3" borderId="22" xfId="4" applyNumberFormat="1" applyBorder="1" applyAlignment="1" applyProtection="1">
      <alignment horizontal="center"/>
      <protection locked="0"/>
    </xf>
    <xf numFmtId="166" fontId="32" fillId="3" borderId="9" xfId="4" applyNumberFormat="1" applyBorder="1" applyAlignment="1" applyProtection="1">
      <alignment horizontal="right"/>
      <protection locked="0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25" fillId="0" borderId="0" xfId="2" applyAlignment="1" applyProtection="1">
      <alignment horizontal="center"/>
    </xf>
    <xf numFmtId="164" fontId="30" fillId="4" borderId="9" xfId="0" applyNumberFormat="1" applyFont="1" applyFill="1" applyBorder="1" applyProtection="1">
      <protection locked="0"/>
    </xf>
    <xf numFmtId="0" fontId="36" fillId="4" borderId="12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22" fillId="0" borderId="0" xfId="1" applyFont="1" applyAlignment="1" applyProtection="1"/>
    <xf numFmtId="0" fontId="37" fillId="0" borderId="0" xfId="5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23" fillId="0" borderId="0" xfId="1" applyFont="1" applyAlignment="1" applyProtection="1">
      <alignment horizontal="left" wrapText="1"/>
    </xf>
    <xf numFmtId="0" fontId="8" fillId="2" borderId="5" xfId="1" applyFont="1" applyFill="1" applyBorder="1" applyAlignment="1" applyProtection="1">
      <alignment horizontal="left" wrapText="1"/>
    </xf>
    <xf numFmtId="0" fontId="12" fillId="2" borderId="0" xfId="1" applyFont="1" applyFill="1" applyAlignment="1" applyProtection="1">
      <alignment wrapText="1"/>
    </xf>
    <xf numFmtId="0" fontId="12" fillId="2" borderId="5" xfId="1" applyFont="1" applyFill="1" applyBorder="1" applyAlignment="1" applyProtection="1">
      <alignment wrapText="1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wrapText="1"/>
    </xf>
    <xf numFmtId="0" fontId="18" fillId="2" borderId="1" xfId="1" applyFont="1" applyFill="1" applyBorder="1" applyAlignment="1" applyProtection="1">
      <alignment horizontal="right"/>
    </xf>
    <xf numFmtId="0" fontId="15" fillId="2" borderId="1" xfId="1" applyFont="1" applyFill="1" applyBorder="1" applyAlignment="1" applyProtection="1">
      <alignment horizontal="right"/>
    </xf>
    <xf numFmtId="14" fontId="18" fillId="2" borderId="1" xfId="1" applyNumberFormat="1" applyFont="1" applyFill="1" applyBorder="1" applyAlignment="1" applyProtection="1">
      <alignment horizontal="left"/>
    </xf>
    <xf numFmtId="0" fontId="15" fillId="2" borderId="1" xfId="1" applyFont="1" applyFill="1" applyBorder="1" applyAlignment="1" applyProtection="1">
      <alignment horizontal="left"/>
    </xf>
    <xf numFmtId="0" fontId="19" fillId="0" borderId="0" xfId="1" applyFont="1" applyProtection="1"/>
    <xf numFmtId="0" fontId="21" fillId="0" borderId="0" xfId="1" applyFont="1" applyAlignment="1" applyProtection="1"/>
    <xf numFmtId="0" fontId="22" fillId="0" borderId="0" xfId="1" applyFont="1" applyAlignment="1" applyProtection="1"/>
    <xf numFmtId="0" fontId="22" fillId="0" borderId="0" xfId="1" applyFont="1" applyAlignment="1" applyProtection="1">
      <alignment horizontal="left" wrapText="1"/>
    </xf>
    <xf numFmtId="0" fontId="0" fillId="0" borderId="0" xfId="0"/>
    <xf numFmtId="0" fontId="22" fillId="0" borderId="0" xfId="1" applyFont="1" applyAlignment="1" applyProtection="1">
      <alignment horizontal="left" vertical="center" wrapText="1"/>
    </xf>
    <xf numFmtId="0" fontId="25" fillId="0" borderId="0" xfId="3" applyAlignment="1" applyProtection="1"/>
    <xf numFmtId="0" fontId="27" fillId="0" borderId="0" xfId="2" applyFont="1" applyAlignment="1" applyProtection="1"/>
    <xf numFmtId="0" fontId="3" fillId="0" borderId="10" xfId="0" applyFont="1" applyBorder="1" applyProtection="1"/>
    <xf numFmtId="0" fontId="0" fillId="0" borderId="11" xfId="0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13" xfId="0" applyBorder="1" applyProtection="1"/>
    <xf numFmtId="0" fontId="0" fillId="0" borderId="0" xfId="0" applyBorder="1" applyProtection="1"/>
    <xf numFmtId="0" fontId="0" fillId="0" borderId="14" xfId="0" applyBorder="1" applyProtection="1"/>
    <xf numFmtId="0" fontId="2" fillId="0" borderId="15" xfId="0" applyFont="1" applyBorder="1" applyProtection="1"/>
    <xf numFmtId="0" fontId="0" fillId="0" borderId="1" xfId="0" applyBorder="1" applyProtection="1"/>
    <xf numFmtId="0" fontId="0" fillId="0" borderId="16" xfId="0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16" fontId="1" fillId="0" borderId="0" xfId="0" quotePrefix="1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0" fontId="31" fillId="0" borderId="0" xfId="0" applyFont="1" applyProtection="1"/>
    <xf numFmtId="164" fontId="0" fillId="0" borderId="0" xfId="0" applyNumberFormat="1" applyBorder="1" applyProtection="1"/>
    <xf numFmtId="6" fontId="0" fillId="0" borderId="9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6" fontId="0" fillId="0" borderId="0" xfId="0" applyNumberFormat="1" applyBorder="1" applyProtection="1"/>
    <xf numFmtId="0" fontId="1" fillId="0" borderId="13" xfId="0" applyFont="1" applyBorder="1" applyProtection="1"/>
    <xf numFmtId="6" fontId="1" fillId="0" borderId="0" xfId="0" applyNumberFormat="1" applyFont="1" applyBorder="1" applyProtection="1"/>
    <xf numFmtId="164" fontId="1" fillId="0" borderId="0" xfId="0" applyNumberFormat="1" applyFont="1" applyBorder="1" applyProtection="1"/>
    <xf numFmtId="164" fontId="0" fillId="0" borderId="0" xfId="0" applyNumberFormat="1" applyProtection="1"/>
    <xf numFmtId="0" fontId="1" fillId="0" borderId="17" xfId="0" applyFont="1" applyBorder="1" applyProtection="1"/>
    <xf numFmtId="6" fontId="1" fillId="0" borderId="18" xfId="0" applyNumberFormat="1" applyFont="1" applyBorder="1" applyProtection="1"/>
    <xf numFmtId="164" fontId="1" fillId="0" borderId="18" xfId="0" applyNumberFormat="1" applyFont="1" applyBorder="1" applyProtection="1"/>
    <xf numFmtId="164" fontId="0" fillId="0" borderId="18" xfId="0" applyNumberFormat="1" applyBorder="1" applyProtection="1"/>
    <xf numFmtId="0" fontId="0" fillId="0" borderId="10" xfId="0" applyBorder="1" applyProtection="1"/>
    <xf numFmtId="0" fontId="0" fillId="0" borderId="18" xfId="0" applyBorder="1" applyProtection="1"/>
    <xf numFmtId="0" fontId="36" fillId="4" borderId="11" xfId="0" applyFont="1" applyFill="1" applyBorder="1" applyAlignment="1" applyProtection="1">
      <alignment horizontal="center"/>
      <protection locked="0"/>
    </xf>
    <xf numFmtId="0" fontId="30" fillId="4" borderId="11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6" fillId="0" borderId="0" xfId="0" applyFont="1" applyBorder="1" applyAlignment="1" applyProtection="1">
      <alignment horizontal="center"/>
    </xf>
    <xf numFmtId="0" fontId="36" fillId="0" borderId="11" xfId="0" applyFont="1" applyBorder="1" applyAlignment="1" applyProtection="1">
      <alignment horizontal="center"/>
    </xf>
    <xf numFmtId="0" fontId="2" fillId="0" borderId="0" xfId="0" applyFont="1" applyProtection="1"/>
    <xf numFmtId="164" fontId="0" fillId="0" borderId="0" xfId="0" applyNumberFormat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164" fontId="0" fillId="0" borderId="9" xfId="0" applyNumberFormat="1" applyBorder="1" applyProtection="1"/>
    <xf numFmtId="10" fontId="0" fillId="0" borderId="9" xfId="0" applyNumberFormat="1" applyBorder="1" applyAlignment="1" applyProtection="1">
      <alignment horizontal="center"/>
    </xf>
    <xf numFmtId="0" fontId="0" fillId="0" borderId="9" xfId="0" applyFill="1" applyBorder="1" applyProtection="1"/>
    <xf numFmtId="10" fontId="0" fillId="0" borderId="23" xfId="0" applyNumberFormat="1" applyBorder="1" applyAlignment="1" applyProtection="1">
      <alignment horizontal="center"/>
    </xf>
    <xf numFmtId="10" fontId="0" fillId="0" borderId="24" xfId="0" applyNumberFormat="1" applyBorder="1" applyAlignment="1" applyProtection="1">
      <alignment horizontal="center"/>
    </xf>
    <xf numFmtId="10" fontId="0" fillId="0" borderId="0" xfId="0" applyNumberFormat="1" applyProtection="1"/>
    <xf numFmtId="0" fontId="0" fillId="0" borderId="0" xfId="0" applyFont="1" applyProtection="1"/>
    <xf numFmtId="164" fontId="32" fillId="0" borderId="0" xfId="4" applyNumberFormat="1" applyFill="1" applyBorder="1" applyAlignment="1" applyProtection="1">
      <alignment horizontal="center"/>
    </xf>
    <xf numFmtId="164" fontId="0" fillId="0" borderId="1" xfId="0" applyNumberFormat="1" applyBorder="1" applyProtection="1"/>
    <xf numFmtId="164" fontId="32" fillId="0" borderId="1" xfId="4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4" borderId="22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0" fontId="34" fillId="0" borderId="0" xfId="0" applyFont="1" applyAlignment="1" applyProtection="1"/>
    <xf numFmtId="0" fontId="34" fillId="0" borderId="18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left"/>
    </xf>
    <xf numFmtId="0" fontId="0" fillId="0" borderId="9" xfId="0" applyBorder="1" applyAlignment="1" applyProtection="1">
      <alignment horizontal="center" wrapText="1"/>
    </xf>
    <xf numFmtId="0" fontId="0" fillId="0" borderId="9" xfId="0" quotePrefix="1" applyBorder="1" applyAlignment="1" applyProtection="1">
      <alignment horizontal="center"/>
    </xf>
    <xf numFmtId="164" fontId="0" fillId="0" borderId="9" xfId="0" applyNumberFormat="1" applyBorder="1" applyAlignment="1" applyProtection="1">
      <alignment horizontal="right"/>
    </xf>
    <xf numFmtId="0" fontId="0" fillId="0" borderId="9" xfId="0" quotePrefix="1" applyFill="1" applyBorder="1" applyAlignment="1" applyProtection="1">
      <alignment horizontal="center"/>
    </xf>
    <xf numFmtId="0" fontId="0" fillId="0" borderId="23" xfId="0" applyBorder="1" applyAlignment="1" applyProtection="1">
      <alignment horizontal="left"/>
    </xf>
    <xf numFmtId="0" fontId="0" fillId="0" borderId="24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quotePrefix="1" applyFill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right"/>
    </xf>
    <xf numFmtId="0" fontId="0" fillId="0" borderId="9" xfId="0" applyBorder="1" applyAlignment="1" applyProtection="1">
      <alignment horizontal="left" wrapText="1"/>
    </xf>
    <xf numFmtId="0" fontId="0" fillId="4" borderId="9" xfId="0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</cellXfs>
  <cellStyles count="6">
    <cellStyle name="40% - Accent1" xfId="4" builtinId="31"/>
    <cellStyle name="Hyperlink" xfId="5" builtinId="8"/>
    <cellStyle name="Hyperlink 2" xfId="2"/>
    <cellStyle name="Hyperlink_K-State Vegetative Buffer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Y51"/>
  <sheetViews>
    <sheetView showGridLines="0" tabSelected="1" zoomScale="92" zoomScaleNormal="100" workbookViewId="0">
      <selection activeCell="B36" sqref="B36"/>
    </sheetView>
  </sheetViews>
  <sheetFormatPr defaultRowHeight="12.75" x14ac:dyDescent="0.2"/>
  <cols>
    <col min="1" max="1" width="3.5703125" style="1" customWidth="1"/>
    <col min="2" max="4" width="9.140625" style="1"/>
    <col min="5" max="5" width="9" style="1" customWidth="1"/>
    <col min="6" max="11" width="9.140625" style="1"/>
    <col min="12" max="12" width="23.28515625" style="1" customWidth="1"/>
    <col min="13" max="13" width="3.7109375" style="1" customWidth="1"/>
    <col min="14" max="16384" width="9.140625" style="1"/>
  </cols>
  <sheetData>
    <row r="1" spans="2:24" ht="10.5" customHeight="1" thickBot="1" x14ac:dyDescent="0.25"/>
    <row r="2" spans="2:24" ht="7.5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24" ht="26.25" x14ac:dyDescent="0.4">
      <c r="B3" s="5" t="s">
        <v>66</v>
      </c>
      <c r="C3" s="6"/>
      <c r="D3" s="6"/>
      <c r="E3" s="6"/>
      <c r="F3" s="6"/>
      <c r="G3" s="6"/>
      <c r="H3" s="7"/>
      <c r="I3" s="7"/>
      <c r="J3" s="8"/>
      <c r="K3" s="8"/>
      <c r="L3" s="9"/>
    </row>
    <row r="4" spans="2:24" ht="18" customHeight="1" x14ac:dyDescent="0.3">
      <c r="B4" s="10"/>
      <c r="C4" s="11"/>
      <c r="D4" s="12"/>
      <c r="E4" s="12"/>
      <c r="F4" s="13"/>
      <c r="G4" s="13"/>
      <c r="H4" s="7"/>
      <c r="I4" s="7"/>
      <c r="J4" s="8"/>
      <c r="K4" s="8"/>
      <c r="L4" s="9"/>
    </row>
    <row r="5" spans="2:24" ht="15.75" customHeight="1" x14ac:dyDescent="0.25">
      <c r="B5" s="58" t="s">
        <v>139</v>
      </c>
      <c r="C5" s="59"/>
      <c r="D5" s="59"/>
      <c r="E5" s="59"/>
      <c r="F5" s="59"/>
      <c r="G5" s="59"/>
      <c r="H5" s="59"/>
      <c r="I5" s="59"/>
      <c r="J5" s="8"/>
      <c r="K5" s="8"/>
      <c r="L5" s="9"/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2:24" ht="15.75" x14ac:dyDescent="0.25">
      <c r="B6" s="60"/>
      <c r="C6" s="59"/>
      <c r="D6" s="59"/>
      <c r="E6" s="59"/>
      <c r="F6" s="59"/>
      <c r="G6" s="59"/>
      <c r="H6" s="59"/>
      <c r="I6" s="59"/>
      <c r="J6" s="8"/>
      <c r="K6" s="8"/>
      <c r="L6" s="9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2:24" ht="5.25" customHeight="1" x14ac:dyDescent="0.25">
      <c r="B7" s="14"/>
      <c r="C7" s="15"/>
      <c r="D7" s="15"/>
      <c r="E7" s="15"/>
      <c r="F7" s="15"/>
      <c r="G7" s="15"/>
      <c r="H7" s="15"/>
      <c r="I7" s="8"/>
      <c r="J7" s="8"/>
      <c r="K7" s="16"/>
      <c r="L7" s="17"/>
    </row>
    <row r="8" spans="2:24" ht="13.5" customHeight="1" thickBot="1" x14ac:dyDescent="0.3">
      <c r="B8" s="18"/>
      <c r="C8" s="63"/>
      <c r="D8" s="64"/>
      <c r="E8" s="65"/>
      <c r="F8" s="66"/>
      <c r="G8" s="19"/>
      <c r="H8" s="19"/>
      <c r="I8" s="19"/>
      <c r="J8" s="19"/>
      <c r="K8" s="20"/>
      <c r="L8" s="21" t="s">
        <v>198</v>
      </c>
      <c r="N8" s="67"/>
    </row>
    <row r="9" spans="2:24" ht="9.75" customHeight="1" x14ac:dyDescent="0.25">
      <c r="B9" s="22"/>
      <c r="C9" s="22"/>
      <c r="D9" s="22"/>
      <c r="E9" s="22"/>
      <c r="F9" s="22"/>
      <c r="G9" s="23"/>
      <c r="H9" s="22"/>
      <c r="I9" s="22"/>
      <c r="J9" s="22"/>
      <c r="K9" s="22"/>
      <c r="L9" s="22"/>
      <c r="N9" s="67"/>
    </row>
    <row r="28" spans="2:12" ht="26.25" customHeight="1" x14ac:dyDescent="0.25">
      <c r="B28" s="68" t="s">
        <v>17</v>
      </c>
      <c r="C28" s="69"/>
      <c r="D28" s="69"/>
      <c r="E28" s="69"/>
      <c r="F28" s="24"/>
      <c r="G28" s="25"/>
      <c r="H28" s="24"/>
      <c r="I28" s="24"/>
      <c r="J28" s="24"/>
      <c r="K28" s="24"/>
      <c r="L28" s="24"/>
    </row>
    <row r="29" spans="2:12" ht="15.75" customHeight="1" x14ac:dyDescent="0.2">
      <c r="B29" s="70" t="s">
        <v>22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2:12" ht="15.75" customHeight="1" x14ac:dyDescent="0.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pans="2:12" ht="15.75" x14ac:dyDescent="0.25">
      <c r="B31" s="29" t="s">
        <v>23</v>
      </c>
      <c r="C31" s="29"/>
      <c r="D31" s="24"/>
      <c r="E31" s="24"/>
      <c r="F31" s="47"/>
      <c r="G31" s="47"/>
      <c r="H31" s="47"/>
      <c r="I31" s="47"/>
      <c r="J31" s="47"/>
      <c r="K31" s="24"/>
      <c r="L31" s="24"/>
    </row>
    <row r="32" spans="2:12" ht="12.75" customHeight="1" x14ac:dyDescent="0.2"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2:25" ht="15.75" hidden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2:25" ht="15.75" x14ac:dyDescent="0.25">
      <c r="B34" s="28" t="s">
        <v>18</v>
      </c>
      <c r="C34" s="29"/>
      <c r="D34" s="24"/>
      <c r="E34" s="24"/>
      <c r="F34" s="24"/>
      <c r="G34" s="24"/>
      <c r="H34" s="24"/>
      <c r="I34" s="24"/>
      <c r="J34" s="24"/>
      <c r="K34" s="24"/>
      <c r="L34" s="24"/>
    </row>
    <row r="35" spans="2:25" ht="15.75" x14ac:dyDescent="0.25">
      <c r="B35" s="29" t="s">
        <v>214</v>
      </c>
      <c r="C35" s="29"/>
      <c r="D35" s="24"/>
      <c r="E35" s="24"/>
      <c r="F35" s="71"/>
      <c r="G35" s="71"/>
      <c r="H35" s="71"/>
      <c r="I35" s="71"/>
      <c r="J35" s="71"/>
      <c r="K35" s="24"/>
      <c r="L35" s="24"/>
    </row>
    <row r="36" spans="2:25" ht="15.75" x14ac:dyDescent="0.25">
      <c r="B36" s="54" t="s">
        <v>199</v>
      </c>
      <c r="C36" s="54"/>
      <c r="D36" s="55"/>
      <c r="E36" s="55"/>
      <c r="F36" s="56"/>
      <c r="G36" s="37"/>
      <c r="H36" s="37"/>
      <c r="I36" s="37"/>
      <c r="J36" s="37"/>
      <c r="K36" s="24"/>
      <c r="L36" s="24"/>
    </row>
    <row r="37" spans="2:25" ht="15.75" x14ac:dyDescent="0.25">
      <c r="B37" s="54" t="s">
        <v>200</v>
      </c>
      <c r="C37" s="54"/>
      <c r="D37" s="55"/>
      <c r="E37" s="55"/>
      <c r="F37" s="56"/>
      <c r="G37" s="47"/>
      <c r="H37" s="47"/>
      <c r="I37" s="47"/>
      <c r="J37" s="47"/>
      <c r="K37" s="24"/>
      <c r="L37" s="24"/>
    </row>
    <row r="38" spans="2:25" ht="15.75" x14ac:dyDescent="0.25">
      <c r="B38" s="54" t="s">
        <v>203</v>
      </c>
      <c r="C38" s="54"/>
      <c r="D38" s="55"/>
      <c r="E38" s="55"/>
      <c r="F38" s="56"/>
      <c r="G38" s="47"/>
      <c r="H38" s="47"/>
      <c r="I38" s="47"/>
      <c r="J38" s="47"/>
      <c r="K38" s="24"/>
      <c r="L38" s="24"/>
    </row>
    <row r="39" spans="2:25" ht="15.75" x14ac:dyDescent="0.25">
      <c r="B39" s="54" t="s">
        <v>201</v>
      </c>
      <c r="C39" s="54"/>
      <c r="D39" s="55"/>
      <c r="E39" s="55"/>
      <c r="F39" s="56"/>
      <c r="G39" s="47"/>
      <c r="H39" s="47"/>
      <c r="I39" s="47"/>
      <c r="J39" s="47"/>
      <c r="K39" s="24"/>
      <c r="L39" s="24"/>
    </row>
    <row r="40" spans="2:25" ht="15.75" x14ac:dyDescent="0.25">
      <c r="B40" s="54" t="s">
        <v>202</v>
      </c>
      <c r="C40" s="54"/>
      <c r="D40" s="55"/>
      <c r="E40" s="55"/>
      <c r="F40" s="56"/>
      <c r="G40" s="47"/>
      <c r="H40" s="47"/>
      <c r="I40" s="47"/>
      <c r="J40" s="47"/>
      <c r="K40" s="24"/>
      <c r="L40" s="24"/>
    </row>
    <row r="41" spans="2:25" ht="15.75" x14ac:dyDescent="0.25">
      <c r="B41" s="54"/>
      <c r="C41" s="54"/>
      <c r="D41" s="55"/>
      <c r="E41" s="55"/>
      <c r="F41" s="56"/>
      <c r="G41" s="47"/>
      <c r="H41" s="47"/>
      <c r="I41" s="47"/>
      <c r="J41" s="47"/>
      <c r="K41" s="24"/>
      <c r="L41" s="24"/>
    </row>
    <row r="42" spans="2:25" ht="18" customHeight="1" x14ac:dyDescent="0.2">
      <c r="B42" s="72" t="s">
        <v>19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2:25" ht="12.75" customHeight="1" x14ac:dyDescent="0.2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25" ht="15.75" x14ac:dyDescent="0.25">
      <c r="B44" s="29" t="s">
        <v>146</v>
      </c>
      <c r="C44" s="29"/>
      <c r="D44" s="29"/>
      <c r="E44" s="29"/>
      <c r="F44" s="29" t="s">
        <v>150</v>
      </c>
      <c r="G44" s="29"/>
      <c r="H44" s="29"/>
      <c r="I44" s="29"/>
      <c r="J44" s="29" t="s">
        <v>14</v>
      </c>
      <c r="K44" s="29"/>
      <c r="L44" s="29"/>
      <c r="M44" s="30"/>
      <c r="N44" s="29"/>
      <c r="O44" s="29"/>
      <c r="P44" s="29"/>
      <c r="Q44" s="29"/>
      <c r="R44" s="29"/>
      <c r="S44" s="29"/>
      <c r="T44" s="29"/>
      <c r="X44" s="31"/>
      <c r="Y44" s="31"/>
    </row>
    <row r="45" spans="2:25" ht="15.75" x14ac:dyDescent="0.25">
      <c r="B45" s="29" t="s">
        <v>147</v>
      </c>
      <c r="C45" s="29"/>
      <c r="D45" s="29"/>
      <c r="E45" s="29"/>
      <c r="F45" s="29" t="s">
        <v>153</v>
      </c>
      <c r="G45" s="29"/>
      <c r="H45" s="29"/>
      <c r="I45" s="29"/>
      <c r="J45" s="29" t="s">
        <v>20</v>
      </c>
      <c r="K45" s="29"/>
      <c r="L45" s="29"/>
      <c r="M45" s="30"/>
      <c r="N45" s="29"/>
      <c r="O45" s="29"/>
      <c r="P45" s="29"/>
      <c r="Q45" s="29"/>
      <c r="R45" s="29"/>
      <c r="S45" s="29"/>
      <c r="T45" s="29"/>
      <c r="X45" s="31"/>
      <c r="Y45" s="31"/>
    </row>
    <row r="46" spans="2:25" ht="15.75" x14ac:dyDescent="0.25">
      <c r="B46" s="29" t="s">
        <v>15</v>
      </c>
      <c r="C46" s="29"/>
      <c r="D46" s="29"/>
      <c r="E46" s="29"/>
      <c r="F46" s="29" t="s">
        <v>15</v>
      </c>
      <c r="G46" s="29"/>
      <c r="H46" s="29"/>
      <c r="I46" s="29"/>
      <c r="J46" s="29" t="s">
        <v>15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X46" s="73"/>
      <c r="Y46" s="73"/>
    </row>
    <row r="47" spans="2:25" ht="15.75" x14ac:dyDescent="0.25">
      <c r="B47" s="53" t="s">
        <v>148</v>
      </c>
      <c r="C47" s="29"/>
      <c r="D47" s="29"/>
      <c r="E47" s="29"/>
      <c r="F47" s="53" t="s">
        <v>151</v>
      </c>
      <c r="G47" s="29"/>
      <c r="H47" s="29"/>
      <c r="I47" s="29"/>
      <c r="J47" s="74" t="s">
        <v>16</v>
      </c>
      <c r="K47" s="69"/>
      <c r="L47" s="69"/>
      <c r="M47" s="29"/>
      <c r="N47" s="29"/>
      <c r="O47" s="32"/>
      <c r="P47" s="33"/>
      <c r="Q47" s="32"/>
      <c r="R47" s="29"/>
      <c r="S47" s="29"/>
      <c r="T47" s="29"/>
    </row>
    <row r="48" spans="2:25" ht="15.75" x14ac:dyDescent="0.25">
      <c r="B48" s="29" t="s">
        <v>149</v>
      </c>
      <c r="C48" s="29"/>
      <c r="D48" s="29"/>
      <c r="E48" s="29"/>
      <c r="F48" s="29" t="s">
        <v>152</v>
      </c>
      <c r="G48" s="29"/>
      <c r="H48" s="29"/>
      <c r="I48" s="29"/>
      <c r="J48" s="34" t="s">
        <v>21</v>
      </c>
      <c r="K48" s="35"/>
      <c r="L48" s="52"/>
      <c r="M48" s="29"/>
      <c r="N48" s="29"/>
      <c r="O48" s="32"/>
      <c r="P48" s="36"/>
      <c r="Q48" s="36"/>
      <c r="R48" s="29"/>
      <c r="S48" s="29"/>
      <c r="T48" s="29"/>
    </row>
    <row r="49" spans="2:12" ht="15.75" x14ac:dyDescent="0.25">
      <c r="B49" s="29"/>
      <c r="C49" s="24"/>
      <c r="D49" s="29"/>
      <c r="E49" s="29"/>
      <c r="F49" s="29"/>
      <c r="G49" s="29"/>
      <c r="H49" s="29"/>
      <c r="I49" s="29"/>
      <c r="J49" s="29"/>
      <c r="K49" s="29"/>
      <c r="L49" s="29"/>
    </row>
    <row r="50" spans="2:12" ht="12.75" customHeight="1" x14ac:dyDescent="0.2">
      <c r="B50" s="57" t="s">
        <v>154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</row>
    <row r="51" spans="2:12" ht="16.5" customHeight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 algorithmName="SHA-512" hashValue="rwtO75RVM12QG1BbqLyyi9u0C1Z32S1NKwMnd23EsLZ/Ln8e81R8S5LlIhnXzPRn07HLe3nK48hDsLdd5jSkyw==" saltValue="miI96vml2Itt/cdJQbtLsQ==" spinCount="100000" sheet="1" objects="1" scenarios="1"/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/>
    <hyperlink ref="B47" r:id="rId3"/>
    <hyperlink ref="F47" r:id="rId4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workbookViewId="0">
      <selection activeCell="O12" sqref="O12"/>
    </sheetView>
  </sheetViews>
  <sheetFormatPr defaultRowHeight="15" x14ac:dyDescent="0.25"/>
  <cols>
    <col min="1" max="1" width="40" style="77" customWidth="1"/>
    <col min="2" max="2" width="11.42578125" style="77" customWidth="1"/>
    <col min="3" max="3" width="12.28515625" style="77" customWidth="1"/>
    <col min="4" max="4" width="10.140625" style="77" customWidth="1"/>
    <col min="5" max="5" width="3.7109375" style="77" customWidth="1"/>
    <col min="6" max="6" width="28.140625" style="77" bestFit="1" customWidth="1"/>
    <col min="7" max="7" width="9.140625" style="111"/>
    <col min="8" max="8" width="19.5703125" style="77" customWidth="1"/>
    <col min="9" max="11" width="12.28515625" style="77" customWidth="1"/>
    <col min="12" max="13" width="9.140625" style="77"/>
    <col min="14" max="21" width="9.140625" style="111"/>
    <col min="22" max="16384" width="9.140625" style="77"/>
  </cols>
  <sheetData>
    <row r="1" spans="1:13" ht="19.5" x14ac:dyDescent="0.3">
      <c r="A1" s="75" t="s">
        <v>24</v>
      </c>
      <c r="B1" s="107" t="s">
        <v>25</v>
      </c>
      <c r="C1" s="108"/>
      <c r="D1" s="108"/>
      <c r="E1" s="76"/>
      <c r="F1" s="49">
        <v>2017</v>
      </c>
      <c r="H1" s="78" t="s">
        <v>160</v>
      </c>
      <c r="I1" s="78"/>
      <c r="J1" s="78"/>
      <c r="K1" s="78"/>
    </row>
    <row r="2" spans="1:13" x14ac:dyDescent="0.25">
      <c r="A2" s="79"/>
      <c r="B2" s="80"/>
      <c r="C2" s="80"/>
      <c r="D2" s="80"/>
      <c r="E2" s="80"/>
      <c r="F2" s="81"/>
    </row>
    <row r="3" spans="1:13" ht="18" thickBot="1" x14ac:dyDescent="0.35">
      <c r="A3" s="82" t="s">
        <v>0</v>
      </c>
      <c r="B3" s="83"/>
      <c r="C3" s="83"/>
      <c r="D3" s="83"/>
      <c r="E3" s="83"/>
      <c r="F3" s="84"/>
      <c r="H3" s="85"/>
      <c r="I3" s="86" t="s">
        <v>27</v>
      </c>
      <c r="J3" s="86" t="s">
        <v>28</v>
      </c>
      <c r="K3" s="86" t="s">
        <v>5</v>
      </c>
    </row>
    <row r="4" spans="1:13" x14ac:dyDescent="0.25">
      <c r="A4" s="79" t="s">
        <v>1</v>
      </c>
      <c r="B4" s="87" t="s">
        <v>3</v>
      </c>
      <c r="C4" s="87" t="s">
        <v>4</v>
      </c>
      <c r="D4" s="88" t="s">
        <v>5</v>
      </c>
      <c r="E4" s="88"/>
      <c r="F4" s="89" t="s">
        <v>7</v>
      </c>
      <c r="H4" s="85" t="s">
        <v>26</v>
      </c>
      <c r="I4" s="90">
        <f>IF(B34=0, "",B13/B34)</f>
        <v>0.84067565088052842</v>
      </c>
      <c r="J4" s="90">
        <f>IF(C34=0, "",C13/C34)</f>
        <v>0.78344400256863789</v>
      </c>
      <c r="K4" s="90">
        <f>IF(D34=0, "",D13/D34)</f>
        <v>0.81150464549174839</v>
      </c>
      <c r="L4" s="91" t="s">
        <v>51</v>
      </c>
      <c r="M4" s="91"/>
    </row>
    <row r="5" spans="1:13" x14ac:dyDescent="0.25">
      <c r="A5" s="79" t="s">
        <v>2</v>
      </c>
      <c r="B5" s="48">
        <v>13019.09</v>
      </c>
      <c r="C5" s="48">
        <v>7472.52</v>
      </c>
      <c r="D5" s="38">
        <f>AVERAGE(B5:C5)</f>
        <v>10245.805</v>
      </c>
      <c r="E5" s="92"/>
      <c r="F5" s="39"/>
      <c r="H5" s="85" t="s">
        <v>30</v>
      </c>
      <c r="I5" s="93">
        <f>B13-B34</f>
        <v>-40811.410000000003</v>
      </c>
      <c r="J5" s="93">
        <f>C13-C34</f>
        <v>-57666.479999999981</v>
      </c>
      <c r="K5" s="93">
        <f>D13-D34</f>
        <v>-49238.945000000007</v>
      </c>
      <c r="L5" s="91" t="s">
        <v>52</v>
      </c>
      <c r="M5" s="91"/>
    </row>
    <row r="6" spans="1:13" x14ac:dyDescent="0.25">
      <c r="A6" s="79" t="s">
        <v>41</v>
      </c>
      <c r="B6" s="48">
        <v>205</v>
      </c>
      <c r="C6" s="48">
        <v>550</v>
      </c>
      <c r="D6" s="38">
        <f t="shared" ref="D6:D13" si="0">AVERAGE(B6:C6)</f>
        <v>377.5</v>
      </c>
      <c r="E6" s="92"/>
      <c r="F6" s="40"/>
      <c r="H6" s="85" t="s">
        <v>32</v>
      </c>
      <c r="I6" s="94">
        <f>IF(B23=0,"",B42/B23)</f>
        <v>0.31834959481372271</v>
      </c>
      <c r="J6" s="94">
        <f>IF(C23=0,"",C42/C23)</f>
        <v>0.29865784914753896</v>
      </c>
      <c r="K6" s="94">
        <f>IF(D23=0,"",D42/D23)</f>
        <v>0.30852755915544561</v>
      </c>
      <c r="L6" s="91" t="s">
        <v>53</v>
      </c>
      <c r="M6" s="91"/>
    </row>
    <row r="7" spans="1:13" x14ac:dyDescent="0.25">
      <c r="A7" s="79" t="s">
        <v>42</v>
      </c>
      <c r="B7" s="48">
        <v>67905</v>
      </c>
      <c r="C7" s="48">
        <v>80600</v>
      </c>
      <c r="D7" s="38">
        <f t="shared" si="0"/>
        <v>74252.5</v>
      </c>
      <c r="E7" s="92"/>
      <c r="F7" s="40"/>
      <c r="H7" s="85" t="s">
        <v>33</v>
      </c>
      <c r="I7" s="94">
        <f>IF(B23=0,"",B44/B23)</f>
        <v>0.6816504051862774</v>
      </c>
      <c r="J7" s="94">
        <f>IF(C23=0,"",C44/C23)</f>
        <v>0.70134215085246099</v>
      </c>
      <c r="K7" s="94">
        <f>IF(D23=0,"",D44/D23)</f>
        <v>0.6914724408445545</v>
      </c>
      <c r="L7" s="91" t="s">
        <v>31</v>
      </c>
      <c r="M7" s="91"/>
    </row>
    <row r="8" spans="1:13" x14ac:dyDescent="0.25">
      <c r="A8" s="79" t="s">
        <v>43</v>
      </c>
      <c r="B8" s="48">
        <f>300*45*4.5*0.75</f>
        <v>45562.5</v>
      </c>
      <c r="C8" s="48">
        <f>200*45*4.5*0.75</f>
        <v>30375</v>
      </c>
      <c r="D8" s="38">
        <f t="shared" si="0"/>
        <v>37968.75</v>
      </c>
      <c r="E8" s="92"/>
      <c r="F8" s="40"/>
      <c r="H8" s="85" t="s">
        <v>34</v>
      </c>
      <c r="I8" s="94">
        <f>IF(B44=0,"",B42/B44)</f>
        <v>0.46702766167464688</v>
      </c>
      <c r="J8" s="94">
        <f t="shared" ref="J8:K8" si="1">IF(C44=0,"",C42/C44)</f>
        <v>0.42583758695314261</v>
      </c>
      <c r="K8" s="94">
        <f t="shared" si="1"/>
        <v>0.44618923464052229</v>
      </c>
      <c r="L8" s="91" t="s">
        <v>54</v>
      </c>
      <c r="M8" s="91"/>
    </row>
    <row r="9" spans="1:13" x14ac:dyDescent="0.25">
      <c r="A9" s="79" t="s">
        <v>44</v>
      </c>
      <c r="B9" s="48">
        <v>50850</v>
      </c>
      <c r="C9" s="48">
        <v>52875</v>
      </c>
      <c r="D9" s="38">
        <f t="shared" si="0"/>
        <v>51862.5</v>
      </c>
      <c r="E9" s="92"/>
      <c r="F9" s="40"/>
    </row>
    <row r="10" spans="1:13" x14ac:dyDescent="0.25">
      <c r="A10" s="79" t="s">
        <v>45</v>
      </c>
      <c r="B10" s="48">
        <v>37800</v>
      </c>
      <c r="C10" s="48">
        <v>36750</v>
      </c>
      <c r="D10" s="38">
        <f t="shared" si="0"/>
        <v>37275</v>
      </c>
      <c r="E10" s="92"/>
      <c r="F10" s="40"/>
    </row>
    <row r="11" spans="1:13" ht="19.5" x14ac:dyDescent="0.3">
      <c r="A11" s="79" t="s">
        <v>46</v>
      </c>
      <c r="B11" s="48">
        <v>0</v>
      </c>
      <c r="C11" s="48">
        <v>0</v>
      </c>
      <c r="D11" s="38">
        <f t="shared" si="0"/>
        <v>0</v>
      </c>
      <c r="E11" s="92"/>
      <c r="F11" s="40"/>
      <c r="H11" s="95" t="s">
        <v>164</v>
      </c>
      <c r="I11" s="95"/>
      <c r="J11" s="95"/>
      <c r="K11" s="95"/>
      <c r="L11" s="95"/>
      <c r="M11" s="95"/>
    </row>
    <row r="12" spans="1:13" x14ac:dyDescent="0.25">
      <c r="A12" s="79"/>
      <c r="B12" s="80"/>
      <c r="C12" s="80"/>
      <c r="D12" s="41"/>
      <c r="E12" s="80"/>
      <c r="F12" s="40"/>
    </row>
    <row r="13" spans="1:13" x14ac:dyDescent="0.25">
      <c r="A13" s="79" t="s">
        <v>6</v>
      </c>
      <c r="B13" s="96">
        <f>SUM(B5:B10)</f>
        <v>215341.59</v>
      </c>
      <c r="C13" s="96">
        <f>SUM(C5:C10)</f>
        <v>208622.52000000002</v>
      </c>
      <c r="D13" s="38">
        <f t="shared" si="0"/>
        <v>211982.05499999999</v>
      </c>
      <c r="E13" s="92"/>
      <c r="F13" s="50"/>
      <c r="H13" s="85"/>
      <c r="I13" s="86" t="s">
        <v>27</v>
      </c>
      <c r="J13" s="86" t="s">
        <v>28</v>
      </c>
      <c r="K13" s="86" t="s">
        <v>5</v>
      </c>
    </row>
    <row r="14" spans="1:13" x14ac:dyDescent="0.25">
      <c r="A14" s="79"/>
      <c r="B14" s="80"/>
      <c r="C14" s="80"/>
      <c r="D14" s="41"/>
      <c r="E14" s="80"/>
      <c r="F14" s="50"/>
      <c r="H14" s="85" t="s">
        <v>32</v>
      </c>
      <c r="I14" s="94">
        <f>IF(B49=0,"",B52/B49)</f>
        <v>0.31834959481372271</v>
      </c>
      <c r="J14" s="94">
        <f>IF(C49=0,"",C52/C49)</f>
        <v>0.29865784914753896</v>
      </c>
      <c r="K14" s="94">
        <f>IF(D49=0,"",D52/D49)</f>
        <v>0.30852755915544561</v>
      </c>
      <c r="L14" s="91" t="s">
        <v>165</v>
      </c>
      <c r="M14" s="91"/>
    </row>
    <row r="15" spans="1:13" x14ac:dyDescent="0.25">
      <c r="A15" s="79" t="s">
        <v>8</v>
      </c>
      <c r="B15" s="48">
        <v>295100</v>
      </c>
      <c r="C15" s="48">
        <v>296200</v>
      </c>
      <c r="D15" s="38">
        <f t="shared" ref="D15:D23" si="2">AVERAGE(B15:C15)</f>
        <v>295650</v>
      </c>
      <c r="E15" s="92"/>
      <c r="F15" s="51"/>
      <c r="H15" s="85" t="s">
        <v>33</v>
      </c>
      <c r="I15" s="94">
        <f>IF(B49=0,"",B55/B49)</f>
        <v>0.6816504051862774</v>
      </c>
      <c r="J15" s="94">
        <f>IF(C49=0,"",C55/C49)</f>
        <v>0.70134215085246099</v>
      </c>
      <c r="K15" s="94">
        <f>IF(D49=0,"",D55/D49)</f>
        <v>0.6914724408445545</v>
      </c>
      <c r="L15" s="91" t="s">
        <v>172</v>
      </c>
      <c r="M15" s="91"/>
    </row>
    <row r="16" spans="1:13" x14ac:dyDescent="0.25">
      <c r="A16" s="79" t="s">
        <v>10</v>
      </c>
      <c r="B16" s="48">
        <v>465035</v>
      </c>
      <c r="C16" s="48">
        <v>423279</v>
      </c>
      <c r="D16" s="38">
        <f t="shared" si="2"/>
        <v>444157</v>
      </c>
      <c r="E16" s="92"/>
      <c r="F16" s="50"/>
      <c r="H16" s="85" t="s">
        <v>34</v>
      </c>
      <c r="I16" s="94">
        <f>IF(B55=0,"",B52/B55)</f>
        <v>0.46702766167464688</v>
      </c>
      <c r="J16" s="94">
        <f>IF(C55=0,"",C52/C55)</f>
        <v>0.42583758695314261</v>
      </c>
      <c r="K16" s="94">
        <f>IF(D55=0,"",D52/D55)</f>
        <v>0.44618923464052229</v>
      </c>
      <c r="L16" s="91" t="s">
        <v>173</v>
      </c>
      <c r="M16" s="91"/>
    </row>
    <row r="17" spans="1:13" x14ac:dyDescent="0.25">
      <c r="A17" s="79" t="s">
        <v>9</v>
      </c>
      <c r="B17" s="48">
        <v>40201</v>
      </c>
      <c r="C17" s="48">
        <v>71040</v>
      </c>
      <c r="D17" s="38">
        <f t="shared" si="2"/>
        <v>55620.5</v>
      </c>
      <c r="E17" s="92"/>
      <c r="F17" s="50"/>
    </row>
    <row r="18" spans="1:13" x14ac:dyDescent="0.25">
      <c r="A18" s="79" t="s">
        <v>11</v>
      </c>
      <c r="B18" s="48">
        <v>25453</v>
      </c>
      <c r="C18" s="48">
        <v>27763</v>
      </c>
      <c r="D18" s="38">
        <f t="shared" si="2"/>
        <v>26608</v>
      </c>
      <c r="E18" s="92"/>
      <c r="F18" s="50"/>
      <c r="H18" s="111"/>
      <c r="I18" s="111"/>
      <c r="J18" s="111"/>
      <c r="K18" s="111"/>
      <c r="L18" s="111"/>
      <c r="M18" s="111"/>
    </row>
    <row r="19" spans="1:13" x14ac:dyDescent="0.25">
      <c r="A19" s="79" t="s">
        <v>12</v>
      </c>
      <c r="B19" s="48">
        <v>1904000</v>
      </c>
      <c r="C19" s="48">
        <v>1904000</v>
      </c>
      <c r="D19" s="38">
        <f t="shared" si="2"/>
        <v>1904000</v>
      </c>
      <c r="E19" s="92"/>
      <c r="F19" s="50"/>
      <c r="H19" s="111"/>
      <c r="I19" s="111"/>
      <c r="J19" s="111"/>
      <c r="K19" s="111"/>
      <c r="L19" s="111"/>
      <c r="M19" s="111"/>
    </row>
    <row r="20" spans="1:13" x14ac:dyDescent="0.25">
      <c r="A20" s="79"/>
      <c r="B20" s="80"/>
      <c r="C20" s="80"/>
      <c r="D20" s="80"/>
      <c r="E20" s="80"/>
      <c r="F20" s="50"/>
      <c r="H20" s="111"/>
      <c r="I20" s="111"/>
      <c r="J20" s="111"/>
      <c r="K20" s="111"/>
      <c r="L20" s="111"/>
      <c r="M20" s="111"/>
    </row>
    <row r="21" spans="1:13" x14ac:dyDescent="0.25">
      <c r="A21" s="79" t="s">
        <v>13</v>
      </c>
      <c r="B21" s="96">
        <f>SUM(B15:B19)</f>
        <v>2729789</v>
      </c>
      <c r="C21" s="96">
        <f t="shared" ref="C21" si="3">SUM(C15:C19)</f>
        <v>2722282</v>
      </c>
      <c r="D21" s="92">
        <f t="shared" si="2"/>
        <v>2726035.5</v>
      </c>
      <c r="E21" s="92"/>
      <c r="F21" s="50"/>
      <c r="H21" s="111"/>
      <c r="I21" s="111"/>
      <c r="J21" s="111"/>
      <c r="K21" s="111"/>
      <c r="L21" s="111"/>
      <c r="M21" s="111"/>
    </row>
    <row r="22" spans="1:13" x14ac:dyDescent="0.25">
      <c r="A22" s="79"/>
      <c r="B22" s="80"/>
      <c r="C22" s="80"/>
      <c r="D22" s="80"/>
      <c r="E22" s="80"/>
      <c r="F22" s="50"/>
      <c r="H22" s="111"/>
      <c r="I22" s="111"/>
      <c r="J22" s="111"/>
      <c r="K22" s="111"/>
      <c r="L22" s="111"/>
      <c r="M22" s="111"/>
    </row>
    <row r="23" spans="1:13" x14ac:dyDescent="0.25">
      <c r="A23" s="97" t="s">
        <v>166</v>
      </c>
      <c r="B23" s="98">
        <f>B13+B21</f>
        <v>2945130.59</v>
      </c>
      <c r="C23" s="98">
        <f t="shared" ref="C23" si="4">C13+C21</f>
        <v>2930904.52</v>
      </c>
      <c r="D23" s="99">
        <f t="shared" si="2"/>
        <v>2938017.5549999997</v>
      </c>
      <c r="E23" s="92"/>
      <c r="F23" s="50"/>
      <c r="H23" s="111"/>
      <c r="I23" s="111"/>
      <c r="J23" s="111"/>
      <c r="K23" s="111"/>
      <c r="L23" s="111"/>
      <c r="M23" s="111"/>
    </row>
    <row r="24" spans="1:13" x14ac:dyDescent="0.25">
      <c r="A24" s="79"/>
      <c r="B24" s="80"/>
      <c r="C24" s="80"/>
      <c r="D24" s="80"/>
      <c r="E24" s="80"/>
      <c r="F24" s="50"/>
      <c r="H24" s="111"/>
      <c r="I24" s="111"/>
      <c r="J24" s="111"/>
      <c r="K24" s="111"/>
      <c r="L24" s="111"/>
      <c r="M24" s="111"/>
    </row>
    <row r="25" spans="1:13" ht="18" thickBot="1" x14ac:dyDescent="0.35">
      <c r="A25" s="82" t="s">
        <v>174</v>
      </c>
      <c r="B25" s="83"/>
      <c r="C25" s="83"/>
      <c r="D25" s="83"/>
      <c r="E25" s="83"/>
      <c r="F25" s="42"/>
      <c r="H25" s="111"/>
      <c r="I25" s="111"/>
      <c r="J25" s="111"/>
      <c r="K25" s="111"/>
      <c r="L25" s="111"/>
      <c r="M25" s="111"/>
    </row>
    <row r="26" spans="1:13" x14ac:dyDescent="0.25">
      <c r="A26" s="79"/>
      <c r="B26" s="87" t="s">
        <v>3</v>
      </c>
      <c r="C26" s="87" t="s">
        <v>4</v>
      </c>
      <c r="D26" s="88" t="s">
        <v>5</v>
      </c>
      <c r="E26" s="88"/>
      <c r="F26" s="109" t="s">
        <v>7</v>
      </c>
      <c r="H26" s="112"/>
      <c r="I26" s="111"/>
      <c r="J26" s="111"/>
      <c r="K26" s="111"/>
      <c r="L26" s="111"/>
      <c r="M26" s="111"/>
    </row>
    <row r="27" spans="1:13" x14ac:dyDescent="0.25">
      <c r="A27" s="79" t="s">
        <v>35</v>
      </c>
      <c r="B27" s="48">
        <v>550</v>
      </c>
      <c r="C27" s="48">
        <v>800</v>
      </c>
      <c r="D27" s="38">
        <f t="shared" ref="D27:D34" si="5">AVERAGE(B27:C27)</f>
        <v>675</v>
      </c>
      <c r="E27" s="92"/>
      <c r="F27" s="50"/>
      <c r="H27" s="112"/>
      <c r="I27" s="111"/>
      <c r="J27" s="111"/>
      <c r="K27" s="111"/>
      <c r="L27" s="111"/>
      <c r="M27" s="111"/>
    </row>
    <row r="28" spans="1:13" x14ac:dyDescent="0.25">
      <c r="A28" s="79" t="s">
        <v>55</v>
      </c>
      <c r="B28" s="48">
        <v>16500</v>
      </c>
      <c r="C28" s="48">
        <v>17810</v>
      </c>
      <c r="D28" s="38">
        <f t="shared" si="5"/>
        <v>17155</v>
      </c>
      <c r="E28" s="92"/>
      <c r="F28" s="50"/>
      <c r="H28" s="111"/>
      <c r="I28" s="111"/>
      <c r="J28" s="111"/>
      <c r="K28" s="111"/>
      <c r="L28" s="111"/>
      <c r="M28" s="111"/>
    </row>
    <row r="29" spans="1:13" x14ac:dyDescent="0.25">
      <c r="A29" s="79" t="s">
        <v>36</v>
      </c>
      <c r="B29" s="48">
        <v>0</v>
      </c>
      <c r="C29" s="48">
        <v>0</v>
      </c>
      <c r="D29" s="38">
        <f t="shared" si="5"/>
        <v>0</v>
      </c>
      <c r="E29" s="92"/>
      <c r="F29" s="50"/>
      <c r="H29" s="111"/>
      <c r="I29" s="111"/>
      <c r="J29" s="111"/>
      <c r="K29" s="111"/>
      <c r="L29" s="111"/>
      <c r="M29" s="111"/>
    </row>
    <row r="30" spans="1:13" x14ac:dyDescent="0.25">
      <c r="A30" s="79" t="s">
        <v>50</v>
      </c>
      <c r="B30" s="48">
        <v>130048</v>
      </c>
      <c r="C30" s="48">
        <v>150000</v>
      </c>
      <c r="D30" s="38">
        <f t="shared" si="5"/>
        <v>140024</v>
      </c>
      <c r="E30" s="92"/>
      <c r="F30" s="50"/>
      <c r="H30" s="112"/>
      <c r="I30" s="111"/>
      <c r="J30" s="111"/>
      <c r="K30" s="111"/>
      <c r="L30" s="111"/>
      <c r="M30" s="111"/>
    </row>
    <row r="31" spans="1:13" x14ac:dyDescent="0.25">
      <c r="A31" s="79" t="s">
        <v>37</v>
      </c>
      <c r="B31" s="48">
        <v>80578</v>
      </c>
      <c r="C31" s="48">
        <v>72019</v>
      </c>
      <c r="D31" s="38">
        <f t="shared" si="5"/>
        <v>76298.5</v>
      </c>
      <c r="E31" s="92"/>
      <c r="F31" s="50"/>
      <c r="H31" s="111"/>
      <c r="I31" s="111"/>
      <c r="J31" s="111"/>
      <c r="K31" s="111"/>
      <c r="L31" s="111"/>
      <c r="M31" s="111"/>
    </row>
    <row r="32" spans="1:13" x14ac:dyDescent="0.25">
      <c r="A32" s="79" t="s">
        <v>38</v>
      </c>
      <c r="B32" s="48">
        <v>28477</v>
      </c>
      <c r="C32" s="48">
        <v>25660</v>
      </c>
      <c r="D32" s="38">
        <f t="shared" si="5"/>
        <v>27068.5</v>
      </c>
      <c r="E32" s="92"/>
      <c r="F32" s="50"/>
      <c r="H32" s="111"/>
      <c r="I32" s="111"/>
      <c r="J32" s="111"/>
      <c r="K32" s="111"/>
      <c r="L32" s="111"/>
      <c r="M32" s="111"/>
    </row>
    <row r="33" spans="1:13" x14ac:dyDescent="0.25">
      <c r="A33" s="79"/>
      <c r="B33" s="80"/>
      <c r="C33" s="80"/>
      <c r="D33" s="80"/>
      <c r="E33" s="80"/>
      <c r="F33" s="50"/>
      <c r="H33" s="111"/>
      <c r="I33" s="111"/>
      <c r="J33" s="111"/>
      <c r="K33" s="111"/>
      <c r="L33" s="111"/>
      <c r="M33" s="111"/>
    </row>
    <row r="34" spans="1:13" x14ac:dyDescent="0.25">
      <c r="A34" s="79" t="s">
        <v>39</v>
      </c>
      <c r="B34" s="96">
        <f>SUM(B27:B32)</f>
        <v>256153</v>
      </c>
      <c r="C34" s="96">
        <f>SUM(C27:C32)</f>
        <v>266289</v>
      </c>
      <c r="D34" s="92">
        <f t="shared" si="5"/>
        <v>261221</v>
      </c>
      <c r="E34" s="92"/>
      <c r="F34" s="50"/>
      <c r="H34" s="111"/>
      <c r="I34" s="111"/>
      <c r="J34" s="111"/>
      <c r="K34" s="111"/>
      <c r="L34" s="111"/>
      <c r="M34" s="111"/>
    </row>
    <row r="35" spans="1:13" x14ac:dyDescent="0.25">
      <c r="A35" s="79"/>
      <c r="B35" s="80"/>
      <c r="C35" s="80"/>
      <c r="D35" s="80"/>
      <c r="E35" s="80"/>
      <c r="F35" s="50"/>
      <c r="H35" s="111"/>
      <c r="I35" s="111"/>
      <c r="J35" s="111"/>
      <c r="K35" s="111"/>
      <c r="L35" s="111"/>
      <c r="M35" s="111"/>
    </row>
    <row r="36" spans="1:13" x14ac:dyDescent="0.25">
      <c r="A36" s="79" t="s">
        <v>40</v>
      </c>
      <c r="B36" s="48">
        <v>0</v>
      </c>
      <c r="C36" s="48">
        <v>0</v>
      </c>
      <c r="D36" s="38">
        <f t="shared" ref="D36:D46" si="6">AVERAGE(B36:C36)</f>
        <v>0</v>
      </c>
      <c r="E36" s="92"/>
      <c r="F36" s="50"/>
      <c r="H36" s="111"/>
      <c r="I36" s="111"/>
      <c r="J36" s="111"/>
      <c r="K36" s="111"/>
      <c r="L36" s="111"/>
      <c r="M36" s="111"/>
    </row>
    <row r="37" spans="1:13" x14ac:dyDescent="0.25">
      <c r="A37" s="79" t="s">
        <v>47</v>
      </c>
      <c r="B37" s="48">
        <v>154933.42000000001</v>
      </c>
      <c r="C37" s="48">
        <v>112496.67</v>
      </c>
      <c r="D37" s="38">
        <f t="shared" si="6"/>
        <v>133715.04500000001</v>
      </c>
      <c r="E37" s="92"/>
      <c r="F37" s="50"/>
      <c r="H37" s="111"/>
      <c r="I37" s="111"/>
      <c r="J37" s="111"/>
      <c r="K37" s="111"/>
      <c r="L37" s="111"/>
      <c r="M37" s="111"/>
    </row>
    <row r="38" spans="1:13" x14ac:dyDescent="0.25">
      <c r="A38" s="79" t="s">
        <v>48</v>
      </c>
      <c r="B38" s="48">
        <v>526494.71</v>
      </c>
      <c r="C38" s="48">
        <v>496551.97</v>
      </c>
      <c r="D38" s="38">
        <f t="shared" si="6"/>
        <v>511523.33999999997</v>
      </c>
      <c r="E38" s="92"/>
      <c r="F38" s="50"/>
      <c r="H38" s="111"/>
      <c r="I38" s="111"/>
      <c r="J38" s="111"/>
      <c r="K38" s="111"/>
      <c r="L38" s="111"/>
      <c r="M38" s="111"/>
    </row>
    <row r="39" spans="1:13" x14ac:dyDescent="0.25">
      <c r="A39" s="79"/>
      <c r="B39" s="80"/>
      <c r="C39" s="80"/>
      <c r="D39" s="80"/>
      <c r="E39" s="80"/>
      <c r="F39" s="50"/>
      <c r="H39" s="111"/>
      <c r="I39" s="111"/>
      <c r="J39" s="111"/>
      <c r="K39" s="111"/>
      <c r="L39" s="111"/>
      <c r="M39" s="111"/>
    </row>
    <row r="40" spans="1:13" x14ac:dyDescent="0.25">
      <c r="A40" s="79" t="s">
        <v>49</v>
      </c>
      <c r="B40" s="96">
        <f>SUM(B36:B38)</f>
        <v>681428.13</v>
      </c>
      <c r="C40" s="96">
        <f t="shared" ref="C40" si="7">SUM(C36:C38)</f>
        <v>609048.64</v>
      </c>
      <c r="D40" s="92">
        <f t="shared" si="6"/>
        <v>645238.38500000001</v>
      </c>
      <c r="E40" s="92"/>
      <c r="F40" s="50"/>
      <c r="H40" s="111"/>
      <c r="I40" s="111"/>
      <c r="J40" s="111"/>
      <c r="K40" s="111"/>
      <c r="L40" s="111"/>
      <c r="M40" s="111"/>
    </row>
    <row r="41" spans="1:13" x14ac:dyDescent="0.25">
      <c r="A41" s="79"/>
      <c r="B41" s="80"/>
      <c r="C41" s="80"/>
      <c r="D41" s="80"/>
      <c r="E41" s="80"/>
      <c r="F41" s="50"/>
      <c r="H41" s="111"/>
      <c r="I41" s="111"/>
      <c r="J41" s="111"/>
      <c r="K41" s="111"/>
      <c r="L41" s="111"/>
      <c r="M41" s="111"/>
    </row>
    <row r="42" spans="1:13" x14ac:dyDescent="0.25">
      <c r="A42" s="97" t="s">
        <v>167</v>
      </c>
      <c r="B42" s="98">
        <f>B34+B40</f>
        <v>937581.13</v>
      </c>
      <c r="C42" s="98">
        <f t="shared" ref="C42" si="8">C34+C40</f>
        <v>875337.64</v>
      </c>
      <c r="D42" s="99">
        <f t="shared" si="6"/>
        <v>906459.38500000001</v>
      </c>
      <c r="E42" s="92"/>
      <c r="F42" s="50"/>
      <c r="H42" s="111"/>
      <c r="I42" s="111"/>
      <c r="J42" s="111"/>
      <c r="K42" s="111"/>
      <c r="L42" s="111"/>
      <c r="M42" s="111"/>
    </row>
    <row r="43" spans="1:13" x14ac:dyDescent="0.25">
      <c r="A43" s="79"/>
      <c r="B43" s="80"/>
      <c r="C43" s="80"/>
      <c r="D43" s="80"/>
      <c r="E43" s="80"/>
      <c r="F43" s="50"/>
      <c r="H43" s="111"/>
      <c r="I43" s="111"/>
      <c r="J43" s="111"/>
      <c r="K43" s="111"/>
      <c r="L43" s="111"/>
      <c r="M43" s="111"/>
    </row>
    <row r="44" spans="1:13" x14ac:dyDescent="0.25">
      <c r="A44" s="97" t="s">
        <v>168</v>
      </c>
      <c r="B44" s="98">
        <f>B23-B42</f>
        <v>2007549.46</v>
      </c>
      <c r="C44" s="98">
        <f>C23-C42</f>
        <v>2055566.88</v>
      </c>
      <c r="D44" s="99">
        <f t="shared" si="6"/>
        <v>2031558.17</v>
      </c>
      <c r="E44" s="92"/>
      <c r="F44" s="50"/>
      <c r="H44" s="111"/>
      <c r="I44" s="111"/>
      <c r="J44" s="111"/>
      <c r="K44" s="111"/>
      <c r="L44" s="111"/>
      <c r="M44" s="111"/>
    </row>
    <row r="45" spans="1:13" x14ac:dyDescent="0.25">
      <c r="A45" s="79"/>
      <c r="B45" s="80"/>
      <c r="C45" s="80"/>
      <c r="D45" s="80"/>
      <c r="E45" s="80"/>
      <c r="F45" s="50"/>
      <c r="H45" s="111"/>
      <c r="I45" s="111"/>
      <c r="J45" s="111"/>
      <c r="K45" s="111"/>
      <c r="L45" s="111"/>
      <c r="M45" s="111"/>
    </row>
    <row r="46" spans="1:13" x14ac:dyDescent="0.25">
      <c r="A46" s="101" t="s">
        <v>169</v>
      </c>
      <c r="B46" s="102">
        <f>B42+B44</f>
        <v>2945130.59</v>
      </c>
      <c r="C46" s="102">
        <f>C42+C44</f>
        <v>2930904.52</v>
      </c>
      <c r="D46" s="103">
        <f t="shared" si="6"/>
        <v>2938017.5549999997</v>
      </c>
      <c r="E46" s="104"/>
      <c r="F46" s="110"/>
      <c r="H46" s="111"/>
      <c r="I46" s="111"/>
      <c r="J46" s="111"/>
      <c r="K46" s="111"/>
      <c r="L46" s="111"/>
      <c r="M46" s="111"/>
    </row>
    <row r="47" spans="1:13" x14ac:dyDescent="0.25">
      <c r="A47" s="105"/>
      <c r="B47" s="87" t="s">
        <v>3</v>
      </c>
      <c r="C47" s="87" t="s">
        <v>4</v>
      </c>
      <c r="D47" s="88" t="s">
        <v>5</v>
      </c>
      <c r="E47" s="88"/>
      <c r="F47" s="109" t="s">
        <v>7</v>
      </c>
      <c r="H47" s="111"/>
      <c r="I47" s="111"/>
      <c r="J47" s="111"/>
      <c r="K47" s="111"/>
      <c r="L47" s="111"/>
      <c r="M47" s="111"/>
    </row>
    <row r="48" spans="1:13" x14ac:dyDescent="0.25">
      <c r="A48" s="79" t="s">
        <v>161</v>
      </c>
      <c r="B48" s="48">
        <v>0</v>
      </c>
      <c r="C48" s="48">
        <v>0</v>
      </c>
      <c r="D48" s="92">
        <f>AVERAGE(B48:C48)</f>
        <v>0</v>
      </c>
      <c r="E48" s="80"/>
      <c r="F48" s="40"/>
      <c r="H48" s="111"/>
      <c r="I48" s="111"/>
      <c r="J48" s="111"/>
      <c r="K48" s="111"/>
      <c r="L48" s="111"/>
      <c r="M48" s="111"/>
    </row>
    <row r="49" spans="1:13" x14ac:dyDescent="0.25">
      <c r="A49" s="97" t="s">
        <v>162</v>
      </c>
      <c r="B49" s="98">
        <f>B23+B48</f>
        <v>2945130.59</v>
      </c>
      <c r="C49" s="98">
        <f>C23+C48</f>
        <v>2930904.52</v>
      </c>
      <c r="D49" s="99">
        <f t="shared" ref="D49:D55" si="9">AVERAGE(B49:C49)</f>
        <v>2938017.5549999997</v>
      </c>
      <c r="E49" s="80"/>
      <c r="F49" s="50"/>
      <c r="H49" s="111"/>
      <c r="I49" s="111"/>
      <c r="J49" s="111"/>
      <c r="K49" s="111"/>
      <c r="L49" s="111"/>
      <c r="M49" s="111"/>
    </row>
    <row r="50" spans="1:13" x14ac:dyDescent="0.25">
      <c r="A50" s="79"/>
      <c r="B50" s="80"/>
      <c r="C50" s="80"/>
      <c r="D50" s="92"/>
      <c r="E50" s="80"/>
      <c r="F50" s="50"/>
      <c r="H50" s="111"/>
      <c r="I50" s="111"/>
      <c r="J50" s="111"/>
      <c r="K50" s="111"/>
      <c r="L50" s="111"/>
      <c r="M50" s="111"/>
    </row>
    <row r="51" spans="1:13" x14ac:dyDescent="0.25">
      <c r="A51" s="79" t="s">
        <v>163</v>
      </c>
      <c r="B51" s="48">
        <v>0</v>
      </c>
      <c r="C51" s="48">
        <v>0</v>
      </c>
      <c r="D51" s="92">
        <f t="shared" si="9"/>
        <v>0</v>
      </c>
      <c r="E51" s="80"/>
      <c r="F51" s="50"/>
      <c r="H51" s="111"/>
      <c r="I51" s="111"/>
      <c r="J51" s="111"/>
      <c r="K51" s="111"/>
      <c r="L51" s="111"/>
      <c r="M51" s="111"/>
    </row>
    <row r="52" spans="1:13" x14ac:dyDescent="0.25">
      <c r="A52" s="97" t="s">
        <v>175</v>
      </c>
      <c r="B52" s="98">
        <f>B42+B51</f>
        <v>937581.13</v>
      </c>
      <c r="C52" s="98">
        <f>C42+C51</f>
        <v>875337.64</v>
      </c>
      <c r="D52" s="99">
        <f t="shared" si="9"/>
        <v>906459.38500000001</v>
      </c>
      <c r="E52" s="80"/>
      <c r="F52" s="50"/>
      <c r="H52" s="111"/>
      <c r="I52" s="111"/>
      <c r="J52" s="111"/>
      <c r="K52" s="111"/>
      <c r="L52" s="111"/>
      <c r="M52" s="111"/>
    </row>
    <row r="53" spans="1:13" x14ac:dyDescent="0.25">
      <c r="A53" s="79"/>
      <c r="B53" s="80"/>
      <c r="C53" s="80"/>
      <c r="D53" s="92"/>
      <c r="E53" s="80"/>
      <c r="F53" s="50"/>
      <c r="H53" s="111"/>
      <c r="I53" s="111"/>
      <c r="J53" s="111"/>
      <c r="K53" s="111"/>
      <c r="L53" s="111"/>
      <c r="M53" s="111"/>
    </row>
    <row r="54" spans="1:13" x14ac:dyDescent="0.25">
      <c r="A54" s="79" t="s">
        <v>170</v>
      </c>
      <c r="B54" s="92">
        <f>B48-B51</f>
        <v>0</v>
      </c>
      <c r="C54" s="92">
        <f>C48-C51</f>
        <v>0</v>
      </c>
      <c r="D54" s="92">
        <f>D48-D51</f>
        <v>0</v>
      </c>
      <c r="E54" s="80"/>
      <c r="F54" s="50"/>
      <c r="H54" s="111"/>
      <c r="I54" s="111"/>
      <c r="J54" s="111"/>
      <c r="K54" s="111"/>
      <c r="L54" s="111"/>
      <c r="M54" s="111"/>
    </row>
    <row r="55" spans="1:13" x14ac:dyDescent="0.25">
      <c r="A55" s="101" t="s">
        <v>171</v>
      </c>
      <c r="B55" s="102">
        <f>B49-B52</f>
        <v>2007549.46</v>
      </c>
      <c r="C55" s="102">
        <f>C49-C52</f>
        <v>2055566.88</v>
      </c>
      <c r="D55" s="103">
        <f t="shared" si="9"/>
        <v>2031558.17</v>
      </c>
      <c r="E55" s="106"/>
      <c r="F55" s="110"/>
      <c r="H55" s="111"/>
      <c r="I55" s="111"/>
      <c r="J55" s="111"/>
      <c r="K55" s="111"/>
      <c r="L55" s="111"/>
      <c r="M55" s="111"/>
    </row>
  </sheetData>
  <sheetProtection algorithmName="SHA-512" hashValue="cK54RLCoEu9Zqlh9UgZEOT+puDP2PKBK91SVy+6k7z1v1O63sC95zRnv4SFXdBNqwUQU0nkQT9CB8pzYOHcEyw==" saltValue="KFz1a14N+MxggClksLfMNw==" spinCount="100000"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zoomScaleNormal="100" workbookViewId="0">
      <selection activeCell="F19" sqref="F19"/>
    </sheetView>
  </sheetViews>
  <sheetFormatPr defaultRowHeight="15" x14ac:dyDescent="0.25"/>
  <cols>
    <col min="1" max="1" width="52.85546875" style="77" customWidth="1"/>
    <col min="2" max="2" width="10.7109375" style="77" customWidth="1"/>
    <col min="3" max="3" width="10.85546875" style="77" customWidth="1"/>
    <col min="4" max="5" width="9.140625" style="77"/>
    <col min="6" max="6" width="10.85546875" style="77" bestFit="1" customWidth="1"/>
    <col min="7" max="7" width="29.42578125" style="77" customWidth="1"/>
    <col min="8" max="8" width="12.85546875" style="77" customWidth="1"/>
    <col min="9" max="9" width="12.42578125" style="77" customWidth="1"/>
    <col min="10" max="10" width="12.28515625" style="77" customWidth="1"/>
    <col min="11" max="16384" width="9.140625" style="77"/>
  </cols>
  <sheetData>
    <row r="1" spans="1:12" ht="19.5" x14ac:dyDescent="0.3">
      <c r="A1" s="75" t="s">
        <v>56</v>
      </c>
      <c r="B1" s="113" t="str">
        <f>'Balance Sheet'!B1:D1</f>
        <v>Joe and Jean Farmer</v>
      </c>
      <c r="C1" s="113"/>
      <c r="D1" s="113"/>
      <c r="E1" s="113"/>
      <c r="F1" s="114">
        <f>'Balance Sheet'!F1</f>
        <v>2017</v>
      </c>
      <c r="G1" s="78" t="s">
        <v>29</v>
      </c>
      <c r="H1" s="78"/>
      <c r="I1" s="78"/>
      <c r="J1" s="78"/>
    </row>
    <row r="2" spans="1:12" x14ac:dyDescent="0.25">
      <c r="A2" s="79"/>
      <c r="B2" s="80"/>
      <c r="C2" s="80"/>
      <c r="D2" s="80"/>
      <c r="E2" s="80"/>
      <c r="F2" s="80"/>
    </row>
    <row r="3" spans="1:12" ht="17.25" x14ac:dyDescent="0.3">
      <c r="A3" s="115" t="s">
        <v>57</v>
      </c>
      <c r="D3" s="131" t="s">
        <v>215</v>
      </c>
      <c r="E3" s="131"/>
      <c r="F3" s="132"/>
      <c r="G3" s="85"/>
      <c r="H3" s="86" t="s">
        <v>27</v>
      </c>
      <c r="I3" s="86" t="s">
        <v>28</v>
      </c>
      <c r="J3" s="86" t="s">
        <v>5</v>
      </c>
    </row>
    <row r="4" spans="1:12" ht="15.75" thickBot="1" x14ac:dyDescent="0.3">
      <c r="A4" s="77" t="s">
        <v>188</v>
      </c>
      <c r="B4" s="43">
        <v>503518</v>
      </c>
      <c r="C4" s="116"/>
      <c r="D4" s="111"/>
      <c r="E4" s="111"/>
      <c r="F4" s="111"/>
      <c r="G4" s="85" t="s">
        <v>26</v>
      </c>
      <c r="H4" s="90">
        <f>IF('Balance Sheet'!B34=0, "",'Balance Sheet'!B13/'Balance Sheet'!B34)</f>
        <v>0.84067565088052842</v>
      </c>
      <c r="I4" s="90">
        <f>IF('Balance Sheet'!C34=0, "",'Balance Sheet'!C13/'Balance Sheet'!C34)</f>
        <v>0.78344400256863789</v>
      </c>
      <c r="J4" s="90">
        <f>IF('Balance Sheet'!D34=0, "",'Balance Sheet'!D13/'Balance Sheet'!D34)</f>
        <v>0.81150464549174839</v>
      </c>
      <c r="K4" s="91" t="s">
        <v>88</v>
      </c>
      <c r="L4" s="91"/>
    </row>
    <row r="5" spans="1:12" ht="15.75" thickBot="1" x14ac:dyDescent="0.3">
      <c r="A5" s="77" t="s">
        <v>189</v>
      </c>
      <c r="B5" s="43">
        <f>'Balance Sheet'!C9+'Balance Sheet'!C8</f>
        <v>83250</v>
      </c>
      <c r="C5" s="116"/>
      <c r="D5" s="111"/>
      <c r="E5" s="111"/>
      <c r="F5" s="111"/>
      <c r="G5" s="85" t="s">
        <v>30</v>
      </c>
      <c r="H5" s="93">
        <f>'Balance Sheet'!B13-'Balance Sheet'!B34</f>
        <v>-40811.410000000003</v>
      </c>
      <c r="I5" s="93">
        <f>'Balance Sheet'!C13-'Balance Sheet'!C34</f>
        <v>-57666.479999999981</v>
      </c>
      <c r="J5" s="93">
        <f>'Balance Sheet'!D13-'Balance Sheet'!D34</f>
        <v>-49238.945000000007</v>
      </c>
      <c r="K5" s="91" t="s">
        <v>92</v>
      </c>
      <c r="L5" s="91"/>
    </row>
    <row r="6" spans="1:12" ht="15.75" thickBot="1" x14ac:dyDescent="0.3">
      <c r="A6" s="77" t="s">
        <v>190</v>
      </c>
      <c r="B6" s="43">
        <f>'Balance Sheet'!B9+'Balance Sheet'!B8</f>
        <v>96412.5</v>
      </c>
      <c r="C6" s="116"/>
      <c r="D6" s="111"/>
      <c r="E6" s="111"/>
      <c r="F6" s="111"/>
      <c r="G6" s="85" t="s">
        <v>72</v>
      </c>
      <c r="H6" s="94">
        <f>H5/$C$20</f>
        <v>-5.9463116584332794E-2</v>
      </c>
      <c r="I6" s="94">
        <f t="shared" ref="I6:J6" si="0">I5/$C$20</f>
        <v>-8.4021322057926798E-2</v>
      </c>
      <c r="J6" s="94">
        <f t="shared" si="0"/>
        <v>-7.1742219321129813E-2</v>
      </c>
      <c r="K6" s="91" t="s">
        <v>187</v>
      </c>
      <c r="L6" s="91"/>
    </row>
    <row r="7" spans="1:12" ht="15.75" thickBot="1" x14ac:dyDescent="0.3">
      <c r="A7" s="77" t="s">
        <v>191</v>
      </c>
      <c r="B7" s="43">
        <v>0</v>
      </c>
      <c r="D7" s="111"/>
      <c r="E7" s="112"/>
      <c r="F7" s="112"/>
      <c r="G7" s="85" t="s">
        <v>32</v>
      </c>
      <c r="H7" s="94">
        <f>IF('Balance Sheet'!B23=0,"",'Balance Sheet'!B42/'Balance Sheet'!B23)</f>
        <v>0.31834959481372271</v>
      </c>
      <c r="I7" s="94">
        <f>IF('Balance Sheet'!C23=0,"",'Balance Sheet'!C42/'Balance Sheet'!C23)</f>
        <v>0.29865784914753896</v>
      </c>
      <c r="J7" s="94">
        <f>IF('Balance Sheet'!D23=0,"",'Balance Sheet'!D42/'Balance Sheet'!D23)</f>
        <v>0.30852755915544561</v>
      </c>
      <c r="K7" s="91" t="s">
        <v>89</v>
      </c>
      <c r="L7" s="91"/>
    </row>
    <row r="8" spans="1:12" ht="15.75" thickBot="1" x14ac:dyDescent="0.3">
      <c r="A8" s="77" t="s">
        <v>58</v>
      </c>
      <c r="B8" s="117">
        <f>B4+B5-B6+B7</f>
        <v>490355.5</v>
      </c>
      <c r="D8" s="111"/>
      <c r="E8" s="112"/>
      <c r="F8" s="112"/>
      <c r="G8" s="85" t="s">
        <v>33</v>
      </c>
      <c r="H8" s="94">
        <f>IF('Balance Sheet'!B23=0,"",'Balance Sheet'!B44/'Balance Sheet'!B23)</f>
        <v>0.6816504051862774</v>
      </c>
      <c r="I8" s="94">
        <f>IF('Balance Sheet'!C23=0,"",'Balance Sheet'!C44/'Balance Sheet'!C23)</f>
        <v>0.70134215085246099</v>
      </c>
      <c r="J8" s="94">
        <f>IF('Balance Sheet'!D23=0,"",'Balance Sheet'!D44/'Balance Sheet'!D23)</f>
        <v>0.6914724408445545</v>
      </c>
      <c r="K8" s="91" t="s">
        <v>90</v>
      </c>
      <c r="L8" s="91"/>
    </row>
    <row r="9" spans="1:12" x14ac:dyDescent="0.25">
      <c r="B9" s="116"/>
      <c r="C9" s="116"/>
      <c r="D9" s="111"/>
      <c r="E9" s="111"/>
      <c r="F9" s="111"/>
      <c r="G9" s="85" t="s">
        <v>34</v>
      </c>
      <c r="H9" s="94">
        <f>IF('Balance Sheet'!B44=0,"",'Balance Sheet'!B42/'Balance Sheet'!B44)</f>
        <v>0.46702766167464688</v>
      </c>
      <c r="I9" s="94">
        <f>IF('Balance Sheet'!C44=0,"",'Balance Sheet'!C42/'Balance Sheet'!C44)</f>
        <v>0.42583758695314261</v>
      </c>
      <c r="J9" s="94">
        <f>IF('Balance Sheet'!D44=0,"",'Balance Sheet'!D42/'Balance Sheet'!D44)</f>
        <v>0.44618923464052229</v>
      </c>
      <c r="K9" s="91" t="s">
        <v>91</v>
      </c>
      <c r="L9" s="91"/>
    </row>
    <row r="10" spans="1:12" ht="15.75" thickBot="1" x14ac:dyDescent="0.3">
      <c r="A10" s="77" t="s">
        <v>192</v>
      </c>
      <c r="B10" s="43">
        <v>141045</v>
      </c>
      <c r="C10" s="116"/>
      <c r="D10" s="111"/>
      <c r="E10" s="111"/>
      <c r="F10" s="111"/>
      <c r="G10" s="100"/>
    </row>
    <row r="11" spans="1:12" ht="15.75" thickBot="1" x14ac:dyDescent="0.3">
      <c r="A11" s="77" t="s">
        <v>193</v>
      </c>
      <c r="B11" s="43">
        <f>'Balance Sheet'!C10+'Balance Sheet'!C15</f>
        <v>332950</v>
      </c>
      <c r="C11" s="116"/>
      <c r="D11" s="111"/>
      <c r="E11" s="111"/>
      <c r="F11" s="111"/>
      <c r="G11" s="118" t="s">
        <v>63</v>
      </c>
      <c r="H11" s="119">
        <f>(C54+B49-C56)/'Balance Sheet'!D23</f>
        <v>2.7894557627992134E-2</v>
      </c>
      <c r="I11" s="119"/>
      <c r="J11" s="77" t="s">
        <v>205</v>
      </c>
    </row>
    <row r="12" spans="1:12" ht="15.75" thickBot="1" x14ac:dyDescent="0.3">
      <c r="A12" s="77" t="s">
        <v>194</v>
      </c>
      <c r="B12" s="43">
        <f>'Balance Sheet'!B10+'Balance Sheet'!B15</f>
        <v>332900</v>
      </c>
      <c r="C12" s="116"/>
      <c r="D12" s="111"/>
      <c r="E12" s="111"/>
      <c r="F12" s="111"/>
      <c r="G12" s="120" t="s">
        <v>64</v>
      </c>
      <c r="H12" s="119">
        <f>(C54-C56)/'Balance Sheet'!D44</f>
        <v>1.9790863285987049E-2</v>
      </c>
      <c r="I12" s="119"/>
      <c r="J12" s="77" t="s">
        <v>206</v>
      </c>
    </row>
    <row r="13" spans="1:12" ht="15.75" thickBot="1" x14ac:dyDescent="0.3">
      <c r="A13" s="77" t="s">
        <v>195</v>
      </c>
      <c r="B13" s="43">
        <v>5000</v>
      </c>
      <c r="D13" s="111"/>
      <c r="E13" s="111"/>
      <c r="F13" s="111"/>
      <c r="G13" s="120" t="s">
        <v>65</v>
      </c>
      <c r="H13" s="119">
        <f>(C54+B49-C56)/C25</f>
        <v>0.12328677687877451</v>
      </c>
      <c r="I13" s="119"/>
      <c r="J13" s="77" t="s">
        <v>207</v>
      </c>
    </row>
    <row r="14" spans="1:12" ht="15.75" thickBot="1" x14ac:dyDescent="0.3">
      <c r="A14" s="77" t="s">
        <v>59</v>
      </c>
      <c r="B14" s="117">
        <f>B10+B11-B12-B13</f>
        <v>136095</v>
      </c>
      <c r="D14" s="111"/>
      <c r="E14" s="111"/>
      <c r="F14" s="111"/>
      <c r="G14" s="120" t="s">
        <v>67</v>
      </c>
      <c r="H14" s="119">
        <f>C25/'Balance Sheet'!D23</f>
        <v>0.22625749763431896</v>
      </c>
      <c r="I14" s="119"/>
      <c r="J14" s="77" t="s">
        <v>209</v>
      </c>
    </row>
    <row r="15" spans="1:12" x14ac:dyDescent="0.25">
      <c r="B15" s="116"/>
      <c r="C15" s="116"/>
      <c r="D15" s="111"/>
      <c r="E15" s="111"/>
      <c r="F15" s="111"/>
      <c r="G15" s="120" t="s">
        <v>68</v>
      </c>
      <c r="H15" s="119">
        <f>C45/C20</f>
        <v>0.7247660933528477</v>
      </c>
      <c r="I15" s="119"/>
      <c r="J15" s="77" t="s">
        <v>208</v>
      </c>
    </row>
    <row r="16" spans="1:12" ht="15.75" thickBot="1" x14ac:dyDescent="0.3">
      <c r="A16" s="77" t="s">
        <v>60</v>
      </c>
      <c r="B16" s="43">
        <v>46336</v>
      </c>
      <c r="D16" s="111"/>
      <c r="E16" s="111"/>
      <c r="F16" s="111"/>
      <c r="G16" s="120" t="s">
        <v>69</v>
      </c>
      <c r="H16" s="119">
        <f>B50/C20</f>
        <v>6.8402805349892876E-2</v>
      </c>
      <c r="I16" s="119"/>
      <c r="J16" s="77" t="s">
        <v>210</v>
      </c>
    </row>
    <row r="17" spans="1:15" ht="15.75" thickBot="1" x14ac:dyDescent="0.3">
      <c r="A17" s="77" t="s">
        <v>176</v>
      </c>
      <c r="B17" s="129">
        <f>'Balance Sheet'!C6-'Balance Sheet'!B6</f>
        <v>345</v>
      </c>
      <c r="D17" s="111"/>
      <c r="E17" s="111"/>
      <c r="F17" s="111"/>
      <c r="G17" s="120" t="s">
        <v>70</v>
      </c>
      <c r="H17" s="119">
        <f>B49/C20</f>
        <v>6.0828346068918598E-2</v>
      </c>
      <c r="I17" s="119"/>
      <c r="J17" s="77" t="s">
        <v>211</v>
      </c>
    </row>
    <row r="18" spans="1:15" ht="15.75" thickBot="1" x14ac:dyDescent="0.3">
      <c r="A18" s="77" t="s">
        <v>61</v>
      </c>
      <c r="B18" s="43">
        <f>3300+9900</f>
        <v>13200</v>
      </c>
      <c r="D18" s="111"/>
      <c r="E18" s="111"/>
      <c r="F18" s="111"/>
      <c r="G18" s="120" t="s">
        <v>159</v>
      </c>
      <c r="H18" s="121">
        <f>C52/C20</f>
        <v>0.85399724477165917</v>
      </c>
      <c r="I18" s="122"/>
      <c r="J18" s="77" t="s">
        <v>212</v>
      </c>
    </row>
    <row r="19" spans="1:15" x14ac:dyDescent="0.25">
      <c r="B19" s="116"/>
      <c r="C19" s="116"/>
      <c r="D19" s="111"/>
      <c r="E19" s="111"/>
      <c r="F19" s="111"/>
      <c r="G19" s="120" t="s">
        <v>71</v>
      </c>
      <c r="H19" s="119">
        <f>C54/C20</f>
        <v>0.14600275522834089</v>
      </c>
      <c r="I19" s="119"/>
      <c r="J19" s="123" t="s">
        <v>213</v>
      </c>
    </row>
    <row r="20" spans="1:15" ht="15.75" thickBot="1" x14ac:dyDescent="0.3">
      <c r="A20" s="77" t="s">
        <v>178</v>
      </c>
      <c r="B20" s="116"/>
      <c r="C20" s="117">
        <f>B8+B14+SUM(B16:B18)</f>
        <v>686331.5</v>
      </c>
      <c r="D20" s="111"/>
      <c r="E20" s="111"/>
      <c r="F20" s="112"/>
    </row>
    <row r="21" spans="1:15" x14ac:dyDescent="0.25">
      <c r="B21" s="116"/>
      <c r="C21" s="116"/>
      <c r="D21" s="111"/>
      <c r="E21" s="111"/>
      <c r="F21" s="111"/>
      <c r="G21" s="111"/>
      <c r="H21" s="111"/>
      <c r="I21" s="134"/>
      <c r="J21" s="111"/>
      <c r="K21" s="111"/>
      <c r="L21" s="111"/>
      <c r="M21" s="111"/>
      <c r="N21" s="111"/>
      <c r="O21" s="111"/>
    </row>
    <row r="22" spans="1:15" ht="17.25" x14ac:dyDescent="0.3">
      <c r="A22" s="115" t="s">
        <v>62</v>
      </c>
      <c r="B22" s="116"/>
      <c r="C22" s="116"/>
      <c r="D22" s="111"/>
      <c r="E22" s="111"/>
      <c r="F22" s="111"/>
      <c r="G22" s="111"/>
      <c r="H22" s="134"/>
      <c r="I22" s="111"/>
      <c r="J22" s="111"/>
      <c r="K22" s="111"/>
      <c r="L22" s="111"/>
      <c r="M22" s="111"/>
      <c r="N22" s="111"/>
      <c r="O22" s="111"/>
    </row>
    <row r="23" spans="1:15" ht="15.75" thickBot="1" x14ac:dyDescent="0.3">
      <c r="A23" s="124" t="s">
        <v>177</v>
      </c>
      <c r="B23" s="43">
        <v>21583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x14ac:dyDescent="0.25">
      <c r="A24" s="124"/>
      <c r="B24" s="125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ht="15.75" thickBot="1" x14ac:dyDescent="0.3">
      <c r="A25" s="124" t="s">
        <v>179</v>
      </c>
      <c r="B25" s="125"/>
      <c r="C25" s="126">
        <f>C20-B23</f>
        <v>664748.5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x14ac:dyDescent="0.25">
      <c r="A26" s="124"/>
      <c r="B26" s="125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ht="15.75" thickBot="1" x14ac:dyDescent="0.3">
      <c r="A27" s="77" t="s">
        <v>73</v>
      </c>
      <c r="B27" s="43">
        <v>40907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15.75" thickBot="1" x14ac:dyDescent="0.3">
      <c r="A28" s="77" t="s">
        <v>74</v>
      </c>
      <c r="B28" s="43">
        <v>57129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</row>
    <row r="29" spans="1:15" ht="15.75" thickBot="1" x14ac:dyDescent="0.3">
      <c r="A29" s="77" t="s">
        <v>75</v>
      </c>
      <c r="B29" s="43">
        <v>67074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ht="15.75" thickBot="1" x14ac:dyDescent="0.3">
      <c r="A30" s="77" t="s">
        <v>76</v>
      </c>
      <c r="B30" s="43">
        <v>90685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</row>
    <row r="31" spans="1:15" ht="15.75" thickBot="1" x14ac:dyDescent="0.3">
      <c r="A31" s="77" t="s">
        <v>77</v>
      </c>
      <c r="B31" s="43">
        <v>69358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5" ht="15.75" thickBot="1" x14ac:dyDescent="0.3">
      <c r="A32" s="77" t="s">
        <v>78</v>
      </c>
      <c r="B32" s="43">
        <v>6760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.75" thickBot="1" x14ac:dyDescent="0.3">
      <c r="A33" s="77" t="s">
        <v>79</v>
      </c>
      <c r="B33" s="43">
        <v>2540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15.75" thickBot="1" x14ac:dyDescent="0.3">
      <c r="A34" s="77" t="s">
        <v>80</v>
      </c>
      <c r="B34" s="43">
        <v>14545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</row>
    <row r="35" spans="1:15" ht="15.75" thickBot="1" x14ac:dyDescent="0.3">
      <c r="A35" s="77" t="s">
        <v>81</v>
      </c>
      <c r="B35" s="43">
        <v>29179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ht="15.75" thickBot="1" x14ac:dyDescent="0.3">
      <c r="A36" s="77" t="s">
        <v>82</v>
      </c>
      <c r="B36" s="43">
        <v>1420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  <row r="37" spans="1:15" ht="15.75" thickBot="1" x14ac:dyDescent="0.3">
      <c r="A37" s="77" t="s">
        <v>83</v>
      </c>
      <c r="B37" s="43">
        <v>4880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ht="15.75" thickBot="1" x14ac:dyDescent="0.3">
      <c r="A38" s="77" t="s">
        <v>84</v>
      </c>
      <c r="B38" s="43">
        <v>5470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</row>
    <row r="39" spans="1:15" ht="15.75" thickBot="1" x14ac:dyDescent="0.3">
      <c r="A39" s="77" t="s">
        <v>85</v>
      </c>
      <c r="B39" s="43">
        <v>15564.8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  <row r="40" spans="1:15" ht="15.75" thickBot="1" x14ac:dyDescent="0.3">
      <c r="A40" s="77" t="s">
        <v>86</v>
      </c>
      <c r="B40" s="43">
        <v>46240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</row>
    <row r="41" spans="1:15" ht="15.75" thickBot="1" x14ac:dyDescent="0.3">
      <c r="A41" s="77" t="s">
        <v>180</v>
      </c>
      <c r="B41" s="43">
        <f>370+6120+4660</f>
        <v>11150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1:15" x14ac:dyDescent="0.25">
      <c r="B42" s="116"/>
      <c r="C42" s="11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</row>
    <row r="43" spans="1:15" ht="15.75" thickBot="1" x14ac:dyDescent="0.3">
      <c r="A43" s="77" t="s">
        <v>181</v>
      </c>
      <c r="B43" s="43">
        <f>'Balance Sheet'!C7-'Balance Sheet'!B7+'Balance Sheet'!C27-'Balance Sheet'!B27</f>
        <v>12945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4" spans="1:15" x14ac:dyDescent="0.25">
      <c r="B44" s="125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15.75" thickBot="1" x14ac:dyDescent="0.3">
      <c r="A45" s="77" t="s">
        <v>182</v>
      </c>
      <c r="B45" s="116"/>
      <c r="C45" s="127">
        <f>B23+SUM(B27:B43)</f>
        <v>497429.8</v>
      </c>
      <c r="D45" s="111"/>
      <c r="E45" s="112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x14ac:dyDescent="0.25">
      <c r="B46" s="116"/>
      <c r="C46" s="125"/>
      <c r="D46" s="111"/>
      <c r="E46" s="112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5" ht="15.75" thickBot="1" x14ac:dyDescent="0.3">
      <c r="A47" s="77" t="s">
        <v>196</v>
      </c>
      <c r="B47" s="43">
        <v>44565.41</v>
      </c>
      <c r="C47" s="80"/>
      <c r="D47" s="111"/>
      <c r="E47" s="111"/>
      <c r="F47" s="133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ht="15.75" thickBot="1" x14ac:dyDescent="0.3">
      <c r="A48" s="77" t="s">
        <v>197</v>
      </c>
      <c r="B48" s="43">
        <f>'Balance Sheet'!C32-'Balance Sheet'!B32</f>
        <v>-2817</v>
      </c>
      <c r="D48" s="111"/>
      <c r="E48" s="111"/>
      <c r="F48" s="133"/>
      <c r="G48" s="111"/>
      <c r="H48" s="111"/>
      <c r="I48" s="111"/>
      <c r="J48" s="111"/>
      <c r="K48" s="111"/>
      <c r="L48" s="111"/>
      <c r="M48" s="111"/>
      <c r="N48" s="111"/>
      <c r="O48" s="111"/>
    </row>
    <row r="49" spans="1:15" ht="15.75" thickBot="1" x14ac:dyDescent="0.3">
      <c r="A49" s="77" t="s">
        <v>183</v>
      </c>
      <c r="B49" s="127">
        <f>B47+B48</f>
        <v>41748.410000000003</v>
      </c>
      <c r="D49" s="111"/>
      <c r="E49" s="111"/>
      <c r="F49" s="133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15" ht="15.75" thickBot="1" x14ac:dyDescent="0.3">
      <c r="A50" s="77" t="s">
        <v>87</v>
      </c>
      <c r="B50" s="44">
        <v>46947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15" x14ac:dyDescent="0.25">
      <c r="B51" s="116"/>
      <c r="C51" s="116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</row>
    <row r="52" spans="1:15" ht="15.75" thickBot="1" x14ac:dyDescent="0.3">
      <c r="A52" s="77" t="s">
        <v>185</v>
      </c>
      <c r="B52" s="116"/>
      <c r="C52" s="117">
        <f>C45+B49+B50</f>
        <v>586125.21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</row>
    <row r="53" spans="1:15" x14ac:dyDescent="0.25">
      <c r="B53" s="116"/>
      <c r="C53" s="116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15" ht="15.75" thickBot="1" x14ac:dyDescent="0.3">
      <c r="A54" s="77" t="s">
        <v>184</v>
      </c>
      <c r="B54" s="116"/>
      <c r="C54" s="117">
        <f>C20-C52</f>
        <v>100206.29000000004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5" x14ac:dyDescent="0.25">
      <c r="B55" s="116"/>
      <c r="C55" s="116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ht="15.75" thickBot="1" x14ac:dyDescent="0.3">
      <c r="A56" s="77" t="s">
        <v>186</v>
      </c>
      <c r="C56" s="130">
        <v>60000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</sheetData>
  <sheetProtection algorithmName="SHA-512" hashValue="Dg9WUTkWSR/rgZMgT9HjbS9Ewh1EqgqRgyI5rPk4a1/x369KT2RhNapzzLAimrohT+aezLiTE1T5vPsudGyOXw==" saltValue="a00HMQqIVQ5hB/zJR5Rlhg==" spinCount="100000"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2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  <mergeCell ref="D3:F3"/>
  </mergeCells>
  <pageMargins left="0.7" right="0.7" top="0.75" bottom="0.75" header="0.3" footer="0.3"/>
  <pageSetup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zoomScale="90" zoomScaleNormal="90" workbookViewId="0">
      <selection activeCell="J68" sqref="J68"/>
    </sheetView>
  </sheetViews>
  <sheetFormatPr defaultRowHeight="15" x14ac:dyDescent="0.25"/>
  <cols>
    <col min="1" max="1" width="9.140625" style="77"/>
    <col min="2" max="2" width="36.42578125" style="77" customWidth="1"/>
    <col min="3" max="3" width="6.7109375" style="77" customWidth="1"/>
    <col min="4" max="4" width="14.140625" style="77" customWidth="1"/>
    <col min="5" max="16" width="13.42578125" style="77" customWidth="1"/>
    <col min="17" max="23" width="9.140625" style="111"/>
    <col min="24" max="16384" width="9.140625" style="77"/>
  </cols>
  <sheetData>
    <row r="1" spans="1:23" ht="27.75" customHeight="1" x14ac:dyDescent="0.3">
      <c r="A1" s="135" t="s">
        <v>155</v>
      </c>
      <c r="B1" s="135"/>
      <c r="C1" s="135"/>
      <c r="D1" s="135"/>
      <c r="E1" s="135"/>
      <c r="F1" s="136" t="str">
        <f>'Income Statement'!B1</f>
        <v>Joe and Jean Farmer</v>
      </c>
      <c r="G1" s="136"/>
      <c r="H1" s="136"/>
      <c r="I1" s="136"/>
      <c r="J1" s="135">
        <f>'Income Statement'!F1</f>
        <v>2017</v>
      </c>
      <c r="K1" s="135"/>
      <c r="L1" s="135"/>
      <c r="M1" s="135"/>
      <c r="N1" s="135"/>
      <c r="O1" s="135"/>
      <c r="P1" s="135"/>
      <c r="Q1" s="154"/>
    </row>
    <row r="2" spans="1:23" s="128" customFormat="1" ht="30" x14ac:dyDescent="0.25">
      <c r="A2" s="137" t="s">
        <v>93</v>
      </c>
      <c r="B2" s="137"/>
      <c r="C2" s="137"/>
      <c r="D2" s="138" t="s">
        <v>94</v>
      </c>
      <c r="E2" s="86" t="s">
        <v>95</v>
      </c>
      <c r="F2" s="86" t="s">
        <v>96</v>
      </c>
      <c r="G2" s="86" t="s">
        <v>97</v>
      </c>
      <c r="H2" s="86" t="s">
        <v>98</v>
      </c>
      <c r="I2" s="86" t="s">
        <v>99</v>
      </c>
      <c r="J2" s="86" t="s">
        <v>100</v>
      </c>
      <c r="K2" s="86" t="s">
        <v>101</v>
      </c>
      <c r="L2" s="86" t="s">
        <v>102</v>
      </c>
      <c r="M2" s="86" t="s">
        <v>103</v>
      </c>
      <c r="N2" s="86" t="s">
        <v>104</v>
      </c>
      <c r="O2" s="86" t="s">
        <v>105</v>
      </c>
      <c r="P2" s="86" t="s">
        <v>106</v>
      </c>
      <c r="Q2" s="133"/>
      <c r="R2" s="133"/>
      <c r="S2" s="133"/>
      <c r="T2" s="133"/>
      <c r="U2" s="133"/>
      <c r="V2" s="133"/>
      <c r="W2" s="133"/>
    </row>
    <row r="3" spans="1:23" x14ac:dyDescent="0.25">
      <c r="A3" s="137" t="s">
        <v>107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23" x14ac:dyDescent="0.25">
      <c r="A4" s="137" t="s">
        <v>108</v>
      </c>
      <c r="B4" s="137"/>
      <c r="C4" s="139">
        <v>1</v>
      </c>
      <c r="D4" s="140">
        <f t="shared" ref="D4:D6" si="0">SUM(E4:P4)</f>
        <v>141045.1</v>
      </c>
      <c r="E4" s="45"/>
      <c r="F4" s="45"/>
      <c r="G4" s="45">
        <v>36750</v>
      </c>
      <c r="H4" s="45"/>
      <c r="I4" s="45"/>
      <c r="J4" s="45"/>
      <c r="K4" s="45"/>
      <c r="L4" s="45"/>
      <c r="M4" s="45"/>
      <c r="N4" s="45">
        <f>112128.3-G4</f>
        <v>75378.3</v>
      </c>
      <c r="O4" s="45">
        <v>28916.799999999999</v>
      </c>
      <c r="P4" s="45"/>
    </row>
    <row r="5" spans="1:23" x14ac:dyDescent="0.25">
      <c r="A5" s="151" t="s">
        <v>135</v>
      </c>
      <c r="B5" s="151"/>
      <c r="C5" s="139">
        <v>2</v>
      </c>
      <c r="D5" s="140">
        <f t="shared" si="0"/>
        <v>0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23" x14ac:dyDescent="0.25">
      <c r="A6" s="151" t="s">
        <v>135</v>
      </c>
      <c r="B6" s="151"/>
      <c r="C6" s="139">
        <v>3</v>
      </c>
      <c r="D6" s="140">
        <f t="shared" si="0"/>
        <v>0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23" x14ac:dyDescent="0.25">
      <c r="A7" s="137" t="s">
        <v>109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23" x14ac:dyDescent="0.25">
      <c r="A8" s="137" t="s">
        <v>136</v>
      </c>
      <c r="B8" s="137"/>
      <c r="C8" s="141">
        <v>4</v>
      </c>
      <c r="D8" s="140">
        <f>SUM(E8:P8)</f>
        <v>96225</v>
      </c>
      <c r="E8" s="45"/>
      <c r="F8" s="45"/>
      <c r="G8" s="45"/>
      <c r="H8" s="45"/>
      <c r="I8" s="45"/>
      <c r="J8" s="45"/>
      <c r="K8" s="45">
        <v>96225</v>
      </c>
      <c r="L8" s="45"/>
      <c r="M8" s="45"/>
      <c r="N8" s="45"/>
      <c r="O8" s="45"/>
      <c r="P8" s="45"/>
    </row>
    <row r="9" spans="1:23" x14ac:dyDescent="0.25">
      <c r="A9" s="142" t="s">
        <v>137</v>
      </c>
      <c r="B9" s="143"/>
      <c r="C9" s="141">
        <v>5</v>
      </c>
      <c r="D9" s="140">
        <f t="shared" ref="D9:D13" si="1">SUM(E9:P9)</f>
        <v>66528</v>
      </c>
      <c r="E9" s="45">
        <f>O9</f>
        <v>33264</v>
      </c>
      <c r="F9" s="45"/>
      <c r="G9" s="45"/>
      <c r="H9" s="45"/>
      <c r="I9" s="45"/>
      <c r="J9" s="45"/>
      <c r="K9" s="45"/>
      <c r="L9" s="45"/>
      <c r="M9" s="45"/>
      <c r="N9" s="45"/>
      <c r="O9" s="45">
        <f>0.5*66528</f>
        <v>33264</v>
      </c>
      <c r="P9" s="45"/>
    </row>
    <row r="10" spans="1:23" x14ac:dyDescent="0.25">
      <c r="A10" s="142" t="s">
        <v>138</v>
      </c>
      <c r="B10" s="143"/>
      <c r="C10" s="141">
        <v>6</v>
      </c>
      <c r="D10" s="140">
        <f t="shared" si="1"/>
        <v>72540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>
        <f>P10</f>
        <v>36270</v>
      </c>
      <c r="P10" s="45">
        <f>0.5*72540</f>
        <v>36270</v>
      </c>
    </row>
    <row r="11" spans="1:23" x14ac:dyDescent="0.25">
      <c r="A11" s="137" t="s">
        <v>110</v>
      </c>
      <c r="B11" s="137"/>
      <c r="C11" s="141">
        <v>7</v>
      </c>
      <c r="D11" s="140">
        <f t="shared" si="1"/>
        <v>260682</v>
      </c>
      <c r="E11" s="45"/>
      <c r="F11" s="45"/>
      <c r="G11" s="45"/>
      <c r="H11" s="45"/>
      <c r="I11" s="45"/>
      <c r="J11" s="45"/>
      <c r="K11" s="45"/>
      <c r="L11" s="45"/>
      <c r="M11" s="45"/>
      <c r="N11" s="45">
        <v>73340</v>
      </c>
      <c r="O11" s="45">
        <f>0.5*187342</f>
        <v>93671</v>
      </c>
      <c r="P11" s="45">
        <f>O11</f>
        <v>93671</v>
      </c>
    </row>
    <row r="12" spans="1:23" x14ac:dyDescent="0.25">
      <c r="A12" s="137" t="s">
        <v>111</v>
      </c>
      <c r="B12" s="137"/>
      <c r="C12" s="141">
        <v>8</v>
      </c>
      <c r="D12" s="140">
        <f t="shared" si="1"/>
        <v>8000</v>
      </c>
      <c r="E12" s="45">
        <v>4000</v>
      </c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>
        <v>4000</v>
      </c>
      <c r="S12" s="112"/>
    </row>
    <row r="13" spans="1:23" x14ac:dyDescent="0.25">
      <c r="A13" s="152" t="s">
        <v>135</v>
      </c>
      <c r="B13" s="153"/>
      <c r="C13" s="141">
        <v>9</v>
      </c>
      <c r="D13" s="140">
        <f t="shared" si="1"/>
        <v>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T13" s="112"/>
    </row>
    <row r="14" spans="1:23" x14ac:dyDescent="0.25">
      <c r="A14" s="137" t="s">
        <v>112</v>
      </c>
      <c r="B14" s="137"/>
      <c r="C14" s="141">
        <v>10</v>
      </c>
      <c r="D14" s="140">
        <f t="shared" ref="D14:D18" si="2">SUM(E14:P14)</f>
        <v>46336</v>
      </c>
      <c r="E14" s="45"/>
      <c r="F14" s="45"/>
      <c r="G14" s="45"/>
      <c r="H14" s="45"/>
      <c r="I14" s="45"/>
      <c r="J14" s="45"/>
      <c r="K14" s="45"/>
      <c r="L14" s="45"/>
      <c r="M14" s="45"/>
      <c r="N14" s="45">
        <v>46336</v>
      </c>
      <c r="O14" s="45"/>
      <c r="P14" s="45"/>
    </row>
    <row r="15" spans="1:23" x14ac:dyDescent="0.25">
      <c r="A15" s="137" t="s">
        <v>113</v>
      </c>
      <c r="B15" s="137"/>
      <c r="C15" s="141">
        <v>11</v>
      </c>
      <c r="D15" s="140">
        <f t="shared" si="2"/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23" x14ac:dyDescent="0.25">
      <c r="A16" s="137" t="s">
        <v>114</v>
      </c>
      <c r="B16" s="137"/>
      <c r="C16" s="141">
        <v>12</v>
      </c>
      <c r="D16" s="140">
        <f t="shared" si="2"/>
        <v>3300</v>
      </c>
      <c r="E16" s="45"/>
      <c r="F16" s="46"/>
      <c r="G16" s="45"/>
      <c r="H16" s="45"/>
      <c r="I16" s="45"/>
      <c r="J16" s="45"/>
      <c r="K16" s="45"/>
      <c r="L16" s="45"/>
      <c r="M16" s="45"/>
      <c r="N16" s="45"/>
      <c r="O16" s="45"/>
      <c r="P16" s="45">
        <v>3300</v>
      </c>
    </row>
    <row r="17" spans="1:16" x14ac:dyDescent="0.25">
      <c r="A17" s="137" t="s">
        <v>115</v>
      </c>
      <c r="B17" s="137"/>
      <c r="C17" s="141">
        <v>13</v>
      </c>
      <c r="D17" s="140">
        <f t="shared" si="2"/>
        <v>5500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v>5500</v>
      </c>
    </row>
    <row r="18" spans="1:16" x14ac:dyDescent="0.25">
      <c r="A18" s="137" t="s">
        <v>116</v>
      </c>
      <c r="B18" s="137"/>
      <c r="C18" s="141">
        <v>14</v>
      </c>
      <c r="D18" s="140">
        <f t="shared" si="2"/>
        <v>28089</v>
      </c>
      <c r="E18" s="45">
        <f>28089/12</f>
        <v>2340.75</v>
      </c>
      <c r="F18" s="45">
        <f t="shared" ref="F18:P18" si="3">28089/12</f>
        <v>2340.75</v>
      </c>
      <c r="G18" s="45">
        <f t="shared" si="3"/>
        <v>2340.75</v>
      </c>
      <c r="H18" s="45">
        <f t="shared" si="3"/>
        <v>2340.75</v>
      </c>
      <c r="I18" s="45">
        <f t="shared" si="3"/>
        <v>2340.75</v>
      </c>
      <c r="J18" s="45">
        <f t="shared" si="3"/>
        <v>2340.75</v>
      </c>
      <c r="K18" s="45">
        <f t="shared" si="3"/>
        <v>2340.75</v>
      </c>
      <c r="L18" s="45">
        <f t="shared" si="3"/>
        <v>2340.75</v>
      </c>
      <c r="M18" s="45">
        <f t="shared" si="3"/>
        <v>2340.75</v>
      </c>
      <c r="N18" s="45">
        <f t="shared" si="3"/>
        <v>2340.75</v>
      </c>
      <c r="O18" s="45">
        <f t="shared" si="3"/>
        <v>2340.75</v>
      </c>
      <c r="P18" s="45">
        <f t="shared" si="3"/>
        <v>2340.75</v>
      </c>
    </row>
    <row r="19" spans="1:16" x14ac:dyDescent="0.25">
      <c r="A19" s="137" t="s">
        <v>156</v>
      </c>
      <c r="B19" s="137"/>
      <c r="C19" s="141">
        <v>15</v>
      </c>
      <c r="D19" s="140">
        <f>SUM(D4:D6,D8:D18)</f>
        <v>728245.1</v>
      </c>
      <c r="E19" s="140">
        <f t="shared" ref="E19:P19" si="4">SUM(E4:E6,E8:E18)</f>
        <v>39604.75</v>
      </c>
      <c r="F19" s="140">
        <f t="shared" si="4"/>
        <v>2340.75</v>
      </c>
      <c r="G19" s="140">
        <f t="shared" si="4"/>
        <v>39090.75</v>
      </c>
      <c r="H19" s="140">
        <f t="shared" si="4"/>
        <v>2340.75</v>
      </c>
      <c r="I19" s="140">
        <f t="shared" si="4"/>
        <v>2340.75</v>
      </c>
      <c r="J19" s="140">
        <f t="shared" si="4"/>
        <v>2340.75</v>
      </c>
      <c r="K19" s="140">
        <f t="shared" si="4"/>
        <v>98565.75</v>
      </c>
      <c r="L19" s="140">
        <f t="shared" si="4"/>
        <v>2340.75</v>
      </c>
      <c r="M19" s="140">
        <f t="shared" si="4"/>
        <v>2340.75</v>
      </c>
      <c r="N19" s="140">
        <f t="shared" si="4"/>
        <v>197395.05</v>
      </c>
      <c r="O19" s="140">
        <f t="shared" si="4"/>
        <v>194462.55</v>
      </c>
      <c r="P19" s="140">
        <f t="shared" si="4"/>
        <v>145081.75</v>
      </c>
    </row>
    <row r="20" spans="1:16" ht="15.75" thickBot="1" x14ac:dyDescent="0.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x14ac:dyDescent="0.25">
      <c r="A21" s="145" t="s">
        <v>117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</row>
    <row r="22" spans="1:16" x14ac:dyDescent="0.25">
      <c r="A22" s="137" t="s">
        <v>118</v>
      </c>
      <c r="B22" s="137"/>
      <c r="C22" s="141">
        <v>16</v>
      </c>
      <c r="D22" s="140">
        <f>SUM(E22:P22)</f>
        <v>21600</v>
      </c>
      <c r="E22" s="45">
        <v>2250</v>
      </c>
      <c r="F22" s="45">
        <v>2250</v>
      </c>
      <c r="G22" s="45">
        <v>2250</v>
      </c>
      <c r="H22" s="45">
        <v>1850</v>
      </c>
      <c r="I22" s="45">
        <f t="shared" ref="I22:M22" si="5">15000/12</f>
        <v>1250</v>
      </c>
      <c r="J22" s="45">
        <f t="shared" si="5"/>
        <v>1250</v>
      </c>
      <c r="K22" s="45">
        <f t="shared" si="5"/>
        <v>1250</v>
      </c>
      <c r="L22" s="45">
        <f t="shared" si="5"/>
        <v>1250</v>
      </c>
      <c r="M22" s="45">
        <f t="shared" si="5"/>
        <v>1250</v>
      </c>
      <c r="N22" s="45">
        <v>2250</v>
      </c>
      <c r="O22" s="45">
        <v>2250</v>
      </c>
      <c r="P22" s="45">
        <v>2250</v>
      </c>
    </row>
    <row r="23" spans="1:16" x14ac:dyDescent="0.25">
      <c r="A23" s="137" t="s">
        <v>119</v>
      </c>
      <c r="B23" s="137"/>
      <c r="C23" s="141">
        <v>17</v>
      </c>
      <c r="D23" s="140">
        <f t="shared" ref="D23:D44" si="6">SUM(E23:P23)</f>
        <v>40907</v>
      </c>
      <c r="E23" s="45">
        <f>40907/12</f>
        <v>3408.9166666666665</v>
      </c>
      <c r="F23" s="45">
        <f t="shared" ref="F23:P23" si="7">40907/12</f>
        <v>3408.9166666666665</v>
      </c>
      <c r="G23" s="45">
        <f t="shared" si="7"/>
        <v>3408.9166666666665</v>
      </c>
      <c r="H23" s="45">
        <f t="shared" si="7"/>
        <v>3408.9166666666665</v>
      </c>
      <c r="I23" s="45">
        <f t="shared" si="7"/>
        <v>3408.9166666666665</v>
      </c>
      <c r="J23" s="45">
        <f t="shared" si="7"/>
        <v>3408.9166666666665</v>
      </c>
      <c r="K23" s="45">
        <f t="shared" si="7"/>
        <v>3408.9166666666665</v>
      </c>
      <c r="L23" s="45">
        <f t="shared" si="7"/>
        <v>3408.9166666666665</v>
      </c>
      <c r="M23" s="45">
        <f t="shared" si="7"/>
        <v>3408.9166666666665</v>
      </c>
      <c r="N23" s="45">
        <f t="shared" si="7"/>
        <v>3408.9166666666665</v>
      </c>
      <c r="O23" s="45">
        <f t="shared" si="7"/>
        <v>3408.9166666666665</v>
      </c>
      <c r="P23" s="45">
        <f t="shared" si="7"/>
        <v>3408.9166666666665</v>
      </c>
    </row>
    <row r="24" spans="1:16" x14ac:dyDescent="0.25">
      <c r="A24" s="137" t="s">
        <v>120</v>
      </c>
      <c r="B24" s="137"/>
      <c r="C24" s="141">
        <v>18</v>
      </c>
      <c r="D24" s="140">
        <f t="shared" si="6"/>
        <v>57000</v>
      </c>
      <c r="E24" s="45">
        <v>1000</v>
      </c>
      <c r="F24" s="45">
        <v>2000</v>
      </c>
      <c r="G24" s="45">
        <v>2000</v>
      </c>
      <c r="H24" s="45">
        <v>7000</v>
      </c>
      <c r="I24" s="45">
        <v>7000</v>
      </c>
      <c r="J24" s="45">
        <v>7000</v>
      </c>
      <c r="K24" s="45">
        <v>7000</v>
      </c>
      <c r="L24" s="45">
        <v>5000</v>
      </c>
      <c r="M24" s="45">
        <v>7000</v>
      </c>
      <c r="N24" s="45">
        <v>7000</v>
      </c>
      <c r="O24" s="45">
        <v>4000</v>
      </c>
      <c r="P24" s="45">
        <v>1000</v>
      </c>
    </row>
    <row r="25" spans="1:16" x14ac:dyDescent="0.25">
      <c r="A25" s="137" t="s">
        <v>121</v>
      </c>
      <c r="B25" s="137"/>
      <c r="C25" s="141">
        <v>19</v>
      </c>
      <c r="D25" s="140">
        <f t="shared" si="6"/>
        <v>67000</v>
      </c>
      <c r="E25" s="45"/>
      <c r="F25" s="45"/>
      <c r="G25" s="45">
        <v>20800</v>
      </c>
      <c r="H25" s="45"/>
      <c r="I25" s="45"/>
      <c r="J25" s="45"/>
      <c r="K25" s="45"/>
      <c r="L25" s="45"/>
      <c r="M25" s="45">
        <v>6200</v>
      </c>
      <c r="N25" s="45"/>
      <c r="O25" s="45"/>
      <c r="P25" s="45">
        <v>40000</v>
      </c>
    </row>
    <row r="26" spans="1:16" x14ac:dyDescent="0.25">
      <c r="A26" s="137" t="s">
        <v>122</v>
      </c>
      <c r="B26" s="137"/>
      <c r="C26" s="141">
        <v>20</v>
      </c>
      <c r="D26" s="140">
        <f t="shared" si="6"/>
        <v>91000</v>
      </c>
      <c r="E26" s="45"/>
      <c r="F26" s="45"/>
      <c r="G26" s="45">
        <v>6000</v>
      </c>
      <c r="H26" s="45">
        <v>75000</v>
      </c>
      <c r="I26" s="45"/>
      <c r="J26" s="45"/>
      <c r="K26" s="45"/>
      <c r="L26" s="45"/>
      <c r="M26" s="45">
        <v>10000</v>
      </c>
      <c r="N26" s="45"/>
      <c r="O26" s="45"/>
      <c r="P26" s="46" t="s">
        <v>140</v>
      </c>
    </row>
    <row r="27" spans="1:16" x14ac:dyDescent="0.25">
      <c r="A27" s="137" t="s">
        <v>128</v>
      </c>
      <c r="B27" s="137"/>
      <c r="C27" s="141">
        <v>21</v>
      </c>
      <c r="D27" s="140">
        <f t="shared" ref="D27" si="8">SUM(E27:P27)</f>
        <v>70000</v>
      </c>
      <c r="E27" s="45"/>
      <c r="F27" s="45"/>
      <c r="G27" s="45">
        <v>35000</v>
      </c>
      <c r="H27" s="45">
        <v>35000</v>
      </c>
      <c r="I27" s="45"/>
      <c r="J27" s="45"/>
      <c r="K27" s="45"/>
      <c r="L27" s="45"/>
      <c r="M27" s="45"/>
      <c r="N27" s="45"/>
      <c r="O27" s="45"/>
      <c r="P27" s="45"/>
    </row>
    <row r="28" spans="1:16" x14ac:dyDescent="0.25">
      <c r="A28" s="137" t="s">
        <v>123</v>
      </c>
      <c r="B28" s="137"/>
      <c r="C28" s="141">
        <v>22</v>
      </c>
      <c r="D28" s="140">
        <f t="shared" si="6"/>
        <v>6700</v>
      </c>
      <c r="E28" s="45">
        <v>100</v>
      </c>
      <c r="F28" s="45">
        <v>100</v>
      </c>
      <c r="G28" s="45">
        <v>2500</v>
      </c>
      <c r="H28" s="45">
        <v>100</v>
      </c>
      <c r="I28" s="45">
        <v>100</v>
      </c>
      <c r="J28" s="45">
        <v>100</v>
      </c>
      <c r="K28" s="45">
        <v>100</v>
      </c>
      <c r="L28" s="45">
        <v>100</v>
      </c>
      <c r="M28" s="45">
        <v>100</v>
      </c>
      <c r="N28" s="45">
        <v>3200</v>
      </c>
      <c r="O28" s="45">
        <v>100</v>
      </c>
      <c r="P28" s="45">
        <v>100</v>
      </c>
    </row>
    <row r="29" spans="1:16" x14ac:dyDescent="0.25">
      <c r="A29" s="137" t="s">
        <v>141</v>
      </c>
      <c r="B29" s="137"/>
      <c r="C29" s="141">
        <v>23</v>
      </c>
      <c r="D29" s="140">
        <f t="shared" si="6"/>
        <v>2450</v>
      </c>
      <c r="E29" s="45">
        <v>300</v>
      </c>
      <c r="F29" s="45"/>
      <c r="G29" s="45"/>
      <c r="H29" s="45"/>
      <c r="I29" s="45"/>
      <c r="J29" s="45"/>
      <c r="K29" s="45">
        <v>400</v>
      </c>
      <c r="L29" s="45"/>
      <c r="M29" s="45"/>
      <c r="N29" s="45">
        <v>350</v>
      </c>
      <c r="O29" s="45">
        <v>700</v>
      </c>
      <c r="P29" s="45">
        <v>700</v>
      </c>
    </row>
    <row r="30" spans="1:16" x14ac:dyDescent="0.25">
      <c r="A30" s="142" t="s">
        <v>142</v>
      </c>
      <c r="B30" s="143"/>
      <c r="C30" s="141">
        <v>24</v>
      </c>
      <c r="D30" s="140">
        <f t="shared" si="6"/>
        <v>14500</v>
      </c>
      <c r="E30" s="45"/>
      <c r="F30" s="45"/>
      <c r="G30" s="45"/>
      <c r="H30" s="45">
        <v>3500</v>
      </c>
      <c r="I30" s="45">
        <v>2500</v>
      </c>
      <c r="J30" s="45"/>
      <c r="K30" s="45">
        <v>8500</v>
      </c>
      <c r="L30" s="45"/>
      <c r="M30" s="45"/>
      <c r="N30" s="45"/>
      <c r="O30" s="45"/>
      <c r="P30" s="45"/>
    </row>
    <row r="31" spans="1:16" x14ac:dyDescent="0.25">
      <c r="A31" s="137" t="s">
        <v>124</v>
      </c>
      <c r="B31" s="137"/>
      <c r="C31" s="141">
        <v>25</v>
      </c>
      <c r="D31" s="140">
        <f t="shared" si="6"/>
        <v>29700</v>
      </c>
      <c r="E31" s="45">
        <v>300</v>
      </c>
      <c r="F31" s="45">
        <v>300</v>
      </c>
      <c r="G31" s="45">
        <v>10000</v>
      </c>
      <c r="H31" s="45">
        <v>300</v>
      </c>
      <c r="I31" s="45">
        <v>300</v>
      </c>
      <c r="J31" s="45">
        <v>300</v>
      </c>
      <c r="K31" s="45">
        <v>5000</v>
      </c>
      <c r="L31" s="45">
        <v>300</v>
      </c>
      <c r="M31" s="45">
        <v>12000</v>
      </c>
      <c r="N31" s="45">
        <v>300</v>
      </c>
      <c r="O31" s="45">
        <v>300</v>
      </c>
      <c r="P31" s="45">
        <v>300</v>
      </c>
    </row>
    <row r="32" spans="1:16" x14ac:dyDescent="0.25">
      <c r="A32" s="137" t="s">
        <v>125</v>
      </c>
      <c r="B32" s="137"/>
      <c r="C32" s="141">
        <v>26</v>
      </c>
      <c r="D32" s="140">
        <f t="shared" si="6"/>
        <v>1420</v>
      </c>
      <c r="E32" s="45"/>
      <c r="F32" s="45"/>
      <c r="G32" s="45"/>
      <c r="H32" s="45"/>
      <c r="I32" s="45"/>
      <c r="J32" s="45">
        <f>1420/2</f>
        <v>710</v>
      </c>
      <c r="K32" s="45"/>
      <c r="L32" s="45"/>
      <c r="M32" s="45"/>
      <c r="N32" s="45"/>
      <c r="O32" s="45"/>
      <c r="P32" s="45">
        <v>710</v>
      </c>
    </row>
    <row r="33" spans="1:21" x14ac:dyDescent="0.25">
      <c r="A33" s="142" t="s">
        <v>143</v>
      </c>
      <c r="B33" s="143"/>
      <c r="C33" s="141">
        <v>27</v>
      </c>
      <c r="D33" s="140">
        <f t="shared" si="6"/>
        <v>4840</v>
      </c>
      <c r="E33" s="45"/>
      <c r="F33" s="45"/>
      <c r="G33" s="45"/>
      <c r="H33" s="45"/>
      <c r="I33" s="45">
        <v>2420</v>
      </c>
      <c r="J33" s="45"/>
      <c r="K33" s="45"/>
      <c r="L33" s="45"/>
      <c r="M33" s="45"/>
      <c r="N33" s="45"/>
      <c r="O33" s="45"/>
      <c r="P33" s="45">
        <v>2420</v>
      </c>
    </row>
    <row r="34" spans="1:21" x14ac:dyDescent="0.25">
      <c r="A34" s="137" t="s">
        <v>126</v>
      </c>
      <c r="B34" s="137"/>
      <c r="C34" s="141">
        <v>28</v>
      </c>
      <c r="D34" s="140">
        <f t="shared" si="6"/>
        <v>5470</v>
      </c>
      <c r="E34" s="45"/>
      <c r="F34" s="45"/>
      <c r="G34" s="45"/>
      <c r="H34" s="45"/>
      <c r="I34" s="45">
        <f>5470/2</f>
        <v>2735</v>
      </c>
      <c r="J34" s="45"/>
      <c r="K34" s="45"/>
      <c r="L34" s="45"/>
      <c r="M34" s="45"/>
      <c r="N34" s="45"/>
      <c r="O34" s="45"/>
      <c r="P34" s="45">
        <f>I34</f>
        <v>2735</v>
      </c>
    </row>
    <row r="35" spans="1:21" x14ac:dyDescent="0.25">
      <c r="A35" s="142" t="s">
        <v>144</v>
      </c>
      <c r="B35" s="143"/>
      <c r="C35" s="141">
        <v>29</v>
      </c>
      <c r="D35" s="140">
        <f t="shared" si="6"/>
        <v>15500</v>
      </c>
      <c r="E35" s="45"/>
      <c r="F35" s="45"/>
      <c r="G35" s="45"/>
      <c r="H35" s="45"/>
      <c r="I35" s="45"/>
      <c r="J35" s="45">
        <v>6000</v>
      </c>
      <c r="K35" s="45"/>
      <c r="L35" s="45"/>
      <c r="M35" s="45"/>
      <c r="N35" s="45">
        <v>3500</v>
      </c>
      <c r="O35" s="45">
        <v>6000</v>
      </c>
      <c r="P35" s="45"/>
    </row>
    <row r="36" spans="1:21" x14ac:dyDescent="0.25">
      <c r="A36" s="137" t="s">
        <v>127</v>
      </c>
      <c r="B36" s="137"/>
      <c r="C36" s="141">
        <v>30</v>
      </c>
      <c r="D36" s="140">
        <f t="shared" si="6"/>
        <v>46240</v>
      </c>
      <c r="E36" s="45"/>
      <c r="F36" s="45"/>
      <c r="G36" s="45">
        <f>46240/2</f>
        <v>23120</v>
      </c>
      <c r="H36" s="45"/>
      <c r="I36" s="46" t="s">
        <v>140</v>
      </c>
      <c r="J36" s="45"/>
      <c r="K36" s="45"/>
      <c r="L36" s="45"/>
      <c r="M36" s="45"/>
      <c r="N36" s="45"/>
      <c r="O36" s="45"/>
      <c r="P36" s="45">
        <f>G36</f>
        <v>23120</v>
      </c>
    </row>
    <row r="37" spans="1:21" x14ac:dyDescent="0.25">
      <c r="A37" s="137" t="s">
        <v>129</v>
      </c>
      <c r="B37" s="137"/>
      <c r="C37" s="141">
        <v>31</v>
      </c>
      <c r="D37" s="140">
        <f t="shared" si="6"/>
        <v>11400</v>
      </c>
      <c r="E37" s="45">
        <v>950</v>
      </c>
      <c r="F37" s="45">
        <v>950</v>
      </c>
      <c r="G37" s="45">
        <v>950</v>
      </c>
      <c r="H37" s="45">
        <v>950</v>
      </c>
      <c r="I37" s="45">
        <v>950</v>
      </c>
      <c r="J37" s="45">
        <v>950</v>
      </c>
      <c r="K37" s="45">
        <v>950</v>
      </c>
      <c r="L37" s="45">
        <v>950</v>
      </c>
      <c r="M37" s="45">
        <v>950</v>
      </c>
      <c r="N37" s="45">
        <v>950</v>
      </c>
      <c r="O37" s="45">
        <v>950</v>
      </c>
      <c r="P37" s="45">
        <v>950</v>
      </c>
    </row>
    <row r="38" spans="1:21" x14ac:dyDescent="0.25">
      <c r="A38" s="137" t="s">
        <v>130</v>
      </c>
      <c r="B38" s="137"/>
      <c r="C38" s="141">
        <v>32</v>
      </c>
      <c r="D38" s="140">
        <f t="shared" si="6"/>
        <v>44500</v>
      </c>
      <c r="E38" s="45"/>
      <c r="F38" s="45">
        <f>44500/4</f>
        <v>11125</v>
      </c>
      <c r="G38" s="45"/>
      <c r="H38" s="45"/>
      <c r="I38" s="45">
        <f>44500/4</f>
        <v>11125</v>
      </c>
      <c r="J38" s="45"/>
      <c r="K38" s="45"/>
      <c r="L38" s="45">
        <f>44500/4</f>
        <v>11125</v>
      </c>
      <c r="M38" s="45"/>
      <c r="N38" s="45"/>
      <c r="O38" s="45">
        <f>44500/4</f>
        <v>11125</v>
      </c>
      <c r="P38" s="45"/>
    </row>
    <row r="39" spans="1:21" x14ac:dyDescent="0.25">
      <c r="A39" s="137" t="s">
        <v>204</v>
      </c>
      <c r="B39" s="137"/>
      <c r="C39" s="141">
        <v>33</v>
      </c>
      <c r="D39" s="140">
        <f t="shared" si="6"/>
        <v>5000</v>
      </c>
      <c r="E39" s="45"/>
      <c r="F39" s="45"/>
      <c r="G39" s="45">
        <v>5000</v>
      </c>
      <c r="H39" s="45"/>
      <c r="I39" s="45"/>
      <c r="J39" s="45"/>
      <c r="K39" s="45"/>
      <c r="L39" s="45"/>
      <c r="M39" s="45"/>
      <c r="N39" s="45"/>
      <c r="O39" s="45"/>
      <c r="P39" s="45"/>
    </row>
    <row r="40" spans="1:21" x14ac:dyDescent="0.25">
      <c r="A40" s="137" t="s">
        <v>131</v>
      </c>
      <c r="B40" s="137"/>
      <c r="C40" s="141">
        <v>34</v>
      </c>
      <c r="D40" s="140">
        <f t="shared" si="6"/>
        <v>12500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>
        <v>12500</v>
      </c>
    </row>
    <row r="41" spans="1:21" x14ac:dyDescent="0.25">
      <c r="A41" s="151" t="s">
        <v>145</v>
      </c>
      <c r="B41" s="151"/>
      <c r="C41" s="141">
        <v>35</v>
      </c>
      <c r="D41" s="140">
        <f t="shared" si="6"/>
        <v>0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  <row r="42" spans="1:21" x14ac:dyDescent="0.25">
      <c r="A42" s="151" t="s">
        <v>145</v>
      </c>
      <c r="B42" s="151"/>
      <c r="C42" s="141">
        <v>36</v>
      </c>
      <c r="D42" s="140">
        <f t="shared" si="6"/>
        <v>0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21" x14ac:dyDescent="0.25">
      <c r="A43" s="137" t="s">
        <v>132</v>
      </c>
      <c r="B43" s="137"/>
      <c r="C43" s="141">
        <v>37</v>
      </c>
      <c r="D43" s="140">
        <f t="shared" si="6"/>
        <v>60000</v>
      </c>
      <c r="E43" s="45">
        <v>5000</v>
      </c>
      <c r="F43" s="45">
        <v>5000</v>
      </c>
      <c r="G43" s="45">
        <v>5000</v>
      </c>
      <c r="H43" s="45">
        <v>5000</v>
      </c>
      <c r="I43" s="45">
        <v>5000</v>
      </c>
      <c r="J43" s="45">
        <v>5000</v>
      </c>
      <c r="K43" s="45">
        <v>5000</v>
      </c>
      <c r="L43" s="45">
        <v>5000</v>
      </c>
      <c r="M43" s="45">
        <v>5000</v>
      </c>
      <c r="N43" s="45">
        <v>5000</v>
      </c>
      <c r="O43" s="45">
        <v>5000</v>
      </c>
      <c r="P43" s="45">
        <v>5000</v>
      </c>
    </row>
    <row r="44" spans="1:21" x14ac:dyDescent="0.25">
      <c r="A44" s="137" t="s">
        <v>133</v>
      </c>
      <c r="B44" s="137"/>
      <c r="C44" s="141">
        <v>38</v>
      </c>
      <c r="D44" s="140">
        <f t="shared" si="6"/>
        <v>17200</v>
      </c>
      <c r="E44" s="45"/>
      <c r="F44" s="45">
        <v>17200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21" x14ac:dyDescent="0.25">
      <c r="A45" s="146" t="s">
        <v>157</v>
      </c>
      <c r="B45" s="146"/>
      <c r="C45" s="141">
        <v>39</v>
      </c>
      <c r="D45" s="140">
        <f t="shared" ref="D45:P45" si="9">SUM(D22:D44)</f>
        <v>624927</v>
      </c>
      <c r="E45" s="140">
        <f t="shared" si="9"/>
        <v>13308.916666666666</v>
      </c>
      <c r="F45" s="140">
        <f t="shared" si="9"/>
        <v>42333.916666666664</v>
      </c>
      <c r="G45" s="140">
        <f t="shared" si="9"/>
        <v>116028.91666666666</v>
      </c>
      <c r="H45" s="140">
        <f t="shared" si="9"/>
        <v>132108.91666666669</v>
      </c>
      <c r="I45" s="140">
        <f t="shared" si="9"/>
        <v>36788.916666666664</v>
      </c>
      <c r="J45" s="140">
        <f t="shared" si="9"/>
        <v>24718.916666666664</v>
      </c>
      <c r="K45" s="140">
        <f t="shared" si="9"/>
        <v>31608.916666666664</v>
      </c>
      <c r="L45" s="140">
        <f t="shared" si="9"/>
        <v>27133.916666666664</v>
      </c>
      <c r="M45" s="140">
        <f t="shared" si="9"/>
        <v>45908.916666666664</v>
      </c>
      <c r="N45" s="140">
        <f t="shared" si="9"/>
        <v>25958.916666666664</v>
      </c>
      <c r="O45" s="140">
        <f t="shared" si="9"/>
        <v>33833.916666666664</v>
      </c>
      <c r="P45" s="140">
        <f t="shared" si="9"/>
        <v>95193.916666666657</v>
      </c>
      <c r="U45" s="111" t="s">
        <v>1</v>
      </c>
    </row>
    <row r="46" spans="1:21" ht="15.75" thickBot="1" x14ac:dyDescent="0.3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</row>
    <row r="47" spans="1:21" x14ac:dyDescent="0.25">
      <c r="A47" s="145" t="s">
        <v>158</v>
      </c>
      <c r="B47" s="145"/>
      <c r="C47" s="148">
        <v>40</v>
      </c>
      <c r="D47" s="149">
        <f t="shared" ref="D47:P47" si="10">D19-D45</f>
        <v>103318.09999999998</v>
      </c>
      <c r="E47" s="149">
        <f t="shared" si="10"/>
        <v>26295.833333333336</v>
      </c>
      <c r="F47" s="149">
        <f t="shared" si="10"/>
        <v>-39993.166666666664</v>
      </c>
      <c r="G47" s="149">
        <f t="shared" si="10"/>
        <v>-76938.166666666657</v>
      </c>
      <c r="H47" s="149">
        <f t="shared" si="10"/>
        <v>-129768.16666666669</v>
      </c>
      <c r="I47" s="149">
        <f t="shared" si="10"/>
        <v>-34448.166666666664</v>
      </c>
      <c r="J47" s="149">
        <f t="shared" si="10"/>
        <v>-22378.166666666664</v>
      </c>
      <c r="K47" s="149">
        <f t="shared" si="10"/>
        <v>66956.833333333343</v>
      </c>
      <c r="L47" s="149">
        <f t="shared" si="10"/>
        <v>-24793.166666666664</v>
      </c>
      <c r="M47" s="149">
        <f t="shared" si="10"/>
        <v>-43568.166666666664</v>
      </c>
      <c r="N47" s="149">
        <f t="shared" si="10"/>
        <v>171436.13333333333</v>
      </c>
      <c r="O47" s="149">
        <f t="shared" si="10"/>
        <v>160628.63333333333</v>
      </c>
      <c r="P47" s="149">
        <f t="shared" si="10"/>
        <v>49887.833333333343</v>
      </c>
    </row>
    <row r="48" spans="1:21" ht="33" customHeight="1" x14ac:dyDescent="0.25">
      <c r="A48" s="150" t="s">
        <v>134</v>
      </c>
      <c r="B48" s="150"/>
      <c r="C48" s="141">
        <v>41</v>
      </c>
      <c r="D48" s="45">
        <v>150000</v>
      </c>
      <c r="E48" s="140">
        <f>$D$48-E47</f>
        <v>123704.16666666666</v>
      </c>
      <c r="F48" s="140">
        <f>E48-F47</f>
        <v>163697.33333333331</v>
      </c>
      <c r="G48" s="140">
        <f>F48-G47</f>
        <v>240635.49999999997</v>
      </c>
      <c r="H48" s="140">
        <f t="shared" ref="H48:P48" si="11">G48-H47</f>
        <v>370403.66666666663</v>
      </c>
      <c r="I48" s="140">
        <f t="shared" si="11"/>
        <v>404851.83333333331</v>
      </c>
      <c r="J48" s="140">
        <f t="shared" si="11"/>
        <v>427230</v>
      </c>
      <c r="K48" s="140">
        <f t="shared" si="11"/>
        <v>360273.16666666663</v>
      </c>
      <c r="L48" s="140">
        <f t="shared" si="11"/>
        <v>385066.33333333331</v>
      </c>
      <c r="M48" s="140">
        <f t="shared" si="11"/>
        <v>428634.5</v>
      </c>
      <c r="N48" s="140">
        <f t="shared" si="11"/>
        <v>257198.36666666667</v>
      </c>
      <c r="O48" s="140">
        <f t="shared" si="11"/>
        <v>96569.733333333337</v>
      </c>
      <c r="P48" s="140">
        <f t="shared" si="11"/>
        <v>46681.899999999994</v>
      </c>
    </row>
    <row r="49" s="111" customFormat="1" x14ac:dyDescent="0.25"/>
    <row r="50" s="111" customFormat="1" x14ac:dyDescent="0.25"/>
    <row r="51" s="111" customFormat="1" x14ac:dyDescent="0.25"/>
    <row r="52" s="111" customFormat="1" x14ac:dyDescent="0.25"/>
    <row r="53" s="111" customFormat="1" x14ac:dyDescent="0.25"/>
    <row r="54" s="111" customFormat="1" x14ac:dyDescent="0.25"/>
    <row r="55" s="111" customFormat="1" x14ac:dyDescent="0.25"/>
    <row r="56" s="111" customFormat="1" x14ac:dyDescent="0.25"/>
    <row r="57" s="111" customFormat="1" x14ac:dyDescent="0.25"/>
    <row r="58" s="111" customFormat="1" x14ac:dyDescent="0.25"/>
    <row r="59" s="111" customFormat="1" x14ac:dyDescent="0.25"/>
    <row r="60" s="111" customFormat="1" x14ac:dyDescent="0.25"/>
    <row r="61" s="111" customFormat="1" x14ac:dyDescent="0.25"/>
    <row r="62" s="111" customFormat="1" x14ac:dyDescent="0.25"/>
    <row r="63" s="111" customFormat="1" x14ac:dyDescent="0.25"/>
    <row r="64" s="111" customFormat="1" x14ac:dyDescent="0.25"/>
    <row r="65" s="111" customFormat="1" x14ac:dyDescent="0.25"/>
    <row r="66" s="111" customFormat="1" x14ac:dyDescent="0.25"/>
    <row r="67" s="111" customFormat="1" x14ac:dyDescent="0.25"/>
    <row r="68" s="111" customFormat="1" x14ac:dyDescent="0.25"/>
    <row r="69" s="111" customFormat="1" x14ac:dyDescent="0.25"/>
    <row r="70" s="111" customFormat="1" x14ac:dyDescent="0.25"/>
    <row r="71" s="111" customFormat="1" x14ac:dyDescent="0.25"/>
    <row r="72" s="111" customFormat="1" x14ac:dyDescent="0.25"/>
    <row r="73" s="111" customFormat="1" x14ac:dyDescent="0.25"/>
    <row r="74" s="111" customFormat="1" x14ac:dyDescent="0.25"/>
  </sheetData>
  <sheetProtection algorithmName="SHA-512" hashValue="G3N8FlfnixgYWluQz8w74HR4FtHuIt4xAf1x+UhBp4RjU74NbZp2cxOqg1FBf46VEajG5fiu1MVosITDW/4qpA==" saltValue="Evot6c0Y/XgejsvFZZmXmg==" spinCount="100000"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8">
    <mergeCell ref="F1:I1"/>
    <mergeCell ref="A48:B48"/>
    <mergeCell ref="A9:B9"/>
    <mergeCell ref="A10:B10"/>
    <mergeCell ref="A13:B13"/>
    <mergeCell ref="A42:B42"/>
    <mergeCell ref="A43:B43"/>
    <mergeCell ref="A44:B44"/>
    <mergeCell ref="A45:B45"/>
    <mergeCell ref="A46:P46"/>
    <mergeCell ref="A47:B47"/>
    <mergeCell ref="A35:B35"/>
    <mergeCell ref="A37:B37"/>
    <mergeCell ref="A38:B38"/>
    <mergeCell ref="A39:B39"/>
    <mergeCell ref="A40:B40"/>
    <mergeCell ref="A41:B41"/>
    <mergeCell ref="A36:B36"/>
    <mergeCell ref="A22:B22"/>
    <mergeCell ref="A23:B23"/>
    <mergeCell ref="A24:B24"/>
    <mergeCell ref="A25:B25"/>
    <mergeCell ref="A26:B26"/>
    <mergeCell ref="A28:B28"/>
    <mergeCell ref="A29:B29"/>
    <mergeCell ref="A31:B31"/>
    <mergeCell ref="A32:B32"/>
    <mergeCell ref="A34:B34"/>
    <mergeCell ref="A27:B27"/>
    <mergeCell ref="A30:B30"/>
    <mergeCell ref="A33:B33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2017-08-16T16:11:28Z</dcterms:modified>
</cp:coreProperties>
</file>