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2017-2018 Program Planning\Agent Training\"/>
    </mc:Choice>
  </mc:AlternateContent>
  <bookViews>
    <workbookView xWindow="0" yWindow="0" windowWidth="15330" windowHeight="687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P11" i="4" l="1"/>
  <c r="N11" i="4"/>
  <c r="D35" i="4" l="1"/>
  <c r="D24" i="4"/>
  <c r="O24" i="4"/>
  <c r="N24" i="4"/>
  <c r="G24" i="4"/>
  <c r="E24" i="4"/>
  <c r="D23" i="4"/>
  <c r="F23" i="4"/>
  <c r="G23" i="4"/>
  <c r="H23" i="4"/>
  <c r="I23" i="4"/>
  <c r="J23" i="4"/>
  <c r="K23" i="4"/>
  <c r="L23" i="4"/>
  <c r="M23" i="4"/>
  <c r="N23" i="4"/>
  <c r="O23" i="4"/>
  <c r="P23" i="4"/>
  <c r="E23" i="4"/>
  <c r="D5" i="4"/>
  <c r="D6" i="4"/>
  <c r="D11" i="4" l="1"/>
  <c r="D12" i="4"/>
  <c r="D10" i="4"/>
  <c r="D9" i="4"/>
  <c r="H11" i="3" l="1"/>
  <c r="B1" i="3"/>
  <c r="N10" i="4"/>
  <c r="D8" i="4"/>
  <c r="D4" i="4"/>
  <c r="N9" i="4"/>
  <c r="E9" i="4"/>
  <c r="K8" i="4"/>
  <c r="C8" i="2"/>
  <c r="D32" i="4" l="1"/>
  <c r="D44" i="4" l="1"/>
  <c r="D39" i="4"/>
  <c r="P39" i="4"/>
  <c r="G39" i="4"/>
  <c r="D31" i="4"/>
  <c r="D26" i="4"/>
  <c r="O4" i="4"/>
  <c r="E4" i="4"/>
  <c r="N4" i="4"/>
  <c r="B51" i="3"/>
  <c r="B10" i="3"/>
  <c r="C37" i="2"/>
  <c r="C31" i="2"/>
  <c r="C17" i="2"/>
  <c r="C16" i="2" l="1"/>
  <c r="C5" i="2"/>
  <c r="M36" i="4" l="1"/>
  <c r="J36" i="4"/>
  <c r="D25" i="4"/>
  <c r="D22" i="4"/>
  <c r="B40" i="2" l="1"/>
  <c r="B34" i="2"/>
  <c r="B21" i="2"/>
  <c r="C13" i="2"/>
  <c r="D13" i="2" s="1"/>
  <c r="B13" i="2"/>
  <c r="B44" i="3" l="1"/>
  <c r="B49" i="3"/>
  <c r="B50" i="3" s="1"/>
  <c r="B17" i="3"/>
  <c r="B5" i="3"/>
  <c r="B6" i="3"/>
  <c r="B8" i="3" l="1"/>
  <c r="C54" i="2"/>
  <c r="B54" i="2"/>
  <c r="D51" i="2"/>
  <c r="D48" i="2"/>
  <c r="D54" i="2" s="1"/>
  <c r="B8" i="2"/>
  <c r="F18" i="4" l="1"/>
  <c r="G18" i="4"/>
  <c r="H18" i="4"/>
  <c r="I18" i="4"/>
  <c r="J18" i="4"/>
  <c r="K18" i="4"/>
  <c r="L18" i="4"/>
  <c r="M18" i="4"/>
  <c r="N18" i="4"/>
  <c r="O18" i="4"/>
  <c r="P18" i="4"/>
  <c r="E18" i="4"/>
  <c r="D36" i="4"/>
  <c r="D34" i="4"/>
  <c r="G37" i="4"/>
  <c r="P37" i="4" s="1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40" i="4"/>
  <c r="D38" i="4"/>
  <c r="D37" i="4"/>
  <c r="D33" i="4"/>
  <c r="D29" i="4"/>
  <c r="D28" i="4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46" i="4" l="1"/>
  <c r="F48" i="4"/>
  <c r="J48" i="4"/>
  <c r="P19" i="4"/>
  <c r="P48" i="4" s="1"/>
  <c r="O19" i="4"/>
  <c r="O48" i="4" s="1"/>
  <c r="I48" i="4"/>
  <c r="M48" i="4"/>
  <c r="E19" i="4"/>
  <c r="E48" i="4" s="1"/>
  <c r="E49" i="4" s="1"/>
  <c r="F49" i="4" s="1"/>
  <c r="H48" i="4"/>
  <c r="L48" i="4"/>
  <c r="N48" i="4"/>
  <c r="G48" i="4"/>
  <c r="K48" i="4"/>
  <c r="G49" i="4" l="1"/>
  <c r="H49" i="4" s="1"/>
  <c r="I49" i="4" s="1"/>
  <c r="J49" i="4" s="1"/>
  <c r="K49" i="4" s="1"/>
  <c r="L49" i="4" s="1"/>
  <c r="M49" i="4" s="1"/>
  <c r="N49" i="4" s="1"/>
  <c r="O49" i="4" s="1"/>
  <c r="P49" i="4" s="1"/>
  <c r="D19" i="4"/>
  <c r="D48" i="4" s="1"/>
  <c r="F1" i="3"/>
  <c r="F1" i="4"/>
  <c r="B12" i="3"/>
  <c r="B11" i="3"/>
  <c r="B14" i="3" l="1"/>
  <c r="B42" i="3"/>
  <c r="C46" i="3" s="1"/>
  <c r="C53" i="3" s="1"/>
  <c r="B18" i="3"/>
  <c r="C20" i="3" l="1"/>
  <c r="H16" i="3"/>
  <c r="H18" i="3"/>
  <c r="C55" i="3"/>
  <c r="H19" i="3" s="1"/>
  <c r="H17" i="3"/>
  <c r="H15" i="3"/>
  <c r="C25" i="3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<sst xmlns="http://schemas.openxmlformats.org/spreadsheetml/2006/main" count="258" uniqueCount="229">
  <si>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</si>
  <si>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</si>
  <si>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</si>
  <si>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</si>
  <si>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</si>
  <si>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</si>
  <si>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</si>
  <si>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</si>
  <si>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</si>
  <si>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</si>
  <si>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</si>
  <si>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</si>
  <si>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</si>
  <si>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</si>
  <si>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</si>
  <si>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</si>
  <si>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</si>
  <si>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</si>
  <si>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</si>
  <si>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</si>
  <si>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</si>
  <si>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</si>
  <si>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</si>
  <si>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</si>
  <si>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</si>
  <si>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</si>
  <si>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</si>
  <si>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</si>
  <si>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</si>
  <si>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</si>
  <si>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</si>
  <si>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</si>
  <si>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</si>
  <si>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</si>
  <si>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</si>
  <si>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</si>
  <si>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</si>
  <si>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</si>
  <si>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</si>
  <si>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</si>
  <si>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</si>
  <si>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</si>
  <si>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</si>
  <si>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</si>
  <si>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</si>
  <si>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</si>
  <si>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</si>
  <si>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</si>
  <si>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</si>
  <si>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</si>
  <si>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</si>
  <si>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</si>
  <si>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</si>
  <si>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</si>
  <si>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</si>
  <si>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</si>
  <si>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</si>
  <si>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</si>
  <si>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</si>
  <si>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</si>
  <si>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</si>
  <si>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</si>
  <si>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</si>
  <si>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</si>
  <si>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</si>
  <si>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</si>
  <si>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</si>
  <si>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</si>
  <si>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</si>
  <si>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</si>
  <si>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</si>
  <si>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</si>
  <si>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</si>
  <si>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</si>
  <si>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</si>
  <si>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</si>
  <si>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</si>
  <si>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</si>
  <si>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</si>
  <si>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</si>
  <si>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</si>
  <si>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</si>
  <si>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</si>
  <si>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</si>
  <si>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</si>
  <si>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</si>
  <si>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</si>
  <si>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</si>
  <si>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</si>
  <si>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</si>
  <si>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</si>
  <si>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</si>
  <si>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</si>
  <si>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</si>
  <si>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</si>
  <si>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</si>
  <si>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</si>
  <si>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</si>
  <si>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</si>
  <si>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</si>
  <si>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</si>
  <si>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</si>
  <si>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</si>
  <si>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</si>
  <si>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</si>
  <si>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</si>
  <si>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</si>
  <si>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</si>
  <si>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</si>
  <si>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</si>
  <si>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</si>
  <si>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</si>
  <si>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</si>
  <si>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</si>
  <si>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</si>
  <si>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</si>
  <si>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</si>
  <si>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</si>
  <si>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</si>
  <si>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</si>
  <si>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</si>
  <si>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</si>
  <si>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</si>
  <si>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</si>
  <si>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</si>
  <si>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</si>
  <si>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</si>
  <si>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</si>
  <si>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</si>
  <si>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</si>
  <si>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</si>
  <si>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</si>
  <si>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</si>
  <si>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</si>
  <si>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</si>
  <si>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</si>
  <si>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</si>
  <si>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</si>
  <si>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</si>
  <si>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</si>
  <si>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</si>
  <si>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</si>
  <si>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</si>
  <si>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</si>
  <si>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</si>
  <si>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</si>
  <si>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</si>
  <si>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</si>
  <si>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</si>
  <si>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</si>
  <si>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</si>
  <si>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</si>
  <si>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</si>
  <si>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</si>
  <si>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</si>
  <si>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</si>
  <si>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</si>
  <si>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</si>
  <si>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</si>
  <si>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</si>
  <si>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</si>
  <si>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</si>
  <si>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</si>
  <si>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</si>
  <si>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</si>
  <si>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</si>
  <si>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</si>
  <si>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</si>
  <si>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</si>
  <si>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</si>
  <si>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</si>
  <si>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</si>
  <si>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</si>
  <si>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</si>
  <si>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</si>
  <si>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</si>
  <si>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</si>
  <si>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</si>
  <si>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</si>
  <si>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</si>
  <si>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</si>
  <si>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</si>
  <si>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</si>
  <si>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</si>
  <si>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</si>
  <si>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</si>
  <si>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</si>
  <si>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</si>
  <si>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</si>
  <si>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</si>
  <si>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</si>
  <si>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</si>
  <si>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</si>
  <si>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</si>
  <si>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</si>
  <si>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</si>
  <si>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</si>
  <si>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</si>
  <si>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</si>
  <si>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</si>
  <si>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</si>
  <si>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</si>
  <si>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</si>
  <si>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</si>
  <si>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</si>
  <si>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</si>
  <si>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</si>
  <si>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</si>
  <si>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</si>
  <si>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</si>
  <si>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</si>
  <si>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</si>
  <si>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</si>
  <si>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</si>
  <si>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</si>
  <si>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</si>
  <si>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</si>
  <si>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</si>
  <si>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</si>
  <si>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</si>
  <si>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</si>
  <si>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</si>
  <si>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</si>
  <si>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</si>
  <si>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</si>
  <si>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</si>
  <si>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</si>
  <si>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</si>
  <si>
    <t>Version- 12.1.2017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</si>
</sst>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164" fontId="0" fillId="4" borderId="1" xfId="0" applyNumberFormat="1" applyFill="1" applyBorder="1" applyAlignment="1" applyProtection="1">
      <alignment horizontal="center"/>
      <protection locked="0"/>
    </xf>
    <xf numFmtId="164" fontId="10" fillId="3" borderId="1" xfId="4" applyNumberFormat="1" applyBorder="1" applyAlignment="1" applyProtection="1">
      <alignment horizontal="center"/>
    </xf>
    <xf numFmtId="164" fontId="0" fillId="4" borderId="22" xfId="0" applyNumberFormat="1" applyFill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right"/>
      <protection locked="0"/>
    </xf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R30" sqref="R30"/>
    </sheetView>
  </sheetViews>
  <sheetFormatPr defaultRowHeight="12.75" x14ac:dyDescent="0.2"/>
  <cols>
    <col min="1" max="1" width="3.5703125" style="78" customWidth="1"/>
    <col min="2" max="4" width="9.140625" style="78"/>
    <col min="5" max="5" width="9" style="78" customWidth="1"/>
    <col min="6" max="11" width="9.140625" style="78"/>
    <col min="12" max="12" width="23.28515625" style="78" customWidth="1"/>
    <col min="13" max="13" width="3.7109375" style="78" customWidth="1"/>
    <col min="14" max="16384" width="9.140625" style="78"/>
  </cols>
  <sheetData>
    <row r="1" spans="2:24" ht="10.5" customHeight="1" thickBot="1" x14ac:dyDescent="0.25"/>
    <row r="2" spans="2:24" ht="7.5" customHeight="1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24" ht="26.25" x14ac:dyDescent="0.4">
      <c r="B3" s="82" t="s">
        <v>65</v>
      </c>
      <c r="C3" s="83"/>
      <c r="D3" s="83"/>
      <c r="E3" s="83"/>
      <c r="F3" s="83"/>
      <c r="G3" s="83"/>
      <c r="H3" s="84"/>
      <c r="I3" s="84"/>
      <c r="J3" s="85"/>
      <c r="K3" s="85"/>
      <c r="L3" s="86"/>
    </row>
    <row r="4" spans="2:24" ht="18" customHeight="1" x14ac:dyDescent="0.3">
      <c r="B4" s="87"/>
      <c r="C4" s="88"/>
      <c r="D4" s="89"/>
      <c r="E4" s="89"/>
      <c r="F4" s="90"/>
      <c r="G4" s="90"/>
      <c r="H4" s="84"/>
      <c r="I4" s="84"/>
      <c r="J4" s="85"/>
      <c r="K4" s="85"/>
      <c r="L4" s="86"/>
    </row>
    <row r="5" spans="2:24" ht="15.75" customHeight="1" x14ac:dyDescent="0.25">
      <c r="B5" s="124" t="s">
        <v>129</v>
      </c>
      <c r="C5" s="125"/>
      <c r="D5" s="125"/>
      <c r="E5" s="125"/>
      <c r="F5" s="125"/>
      <c r="G5" s="125"/>
      <c r="H5" s="125"/>
      <c r="I5" s="125"/>
      <c r="J5" s="85"/>
      <c r="K5" s="85"/>
      <c r="L5" s="86"/>
      <c r="N5" s="127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4" ht="15.75" x14ac:dyDescent="0.25">
      <c r="B6" s="126"/>
      <c r="C6" s="125"/>
      <c r="D6" s="125"/>
      <c r="E6" s="125"/>
      <c r="F6" s="125"/>
      <c r="G6" s="125"/>
      <c r="H6" s="125"/>
      <c r="I6" s="125"/>
      <c r="J6" s="85"/>
      <c r="K6" s="85"/>
      <c r="L6" s="86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2:24" ht="5.25" customHeight="1" x14ac:dyDescent="0.25">
      <c r="B7" s="91"/>
      <c r="C7" s="92"/>
      <c r="D7" s="92"/>
      <c r="E7" s="92"/>
      <c r="F7" s="92"/>
      <c r="G7" s="92"/>
      <c r="H7" s="92"/>
      <c r="I7" s="85"/>
      <c r="J7" s="85"/>
      <c r="K7" s="93"/>
      <c r="L7" s="94"/>
    </row>
    <row r="8" spans="2:24" ht="13.5" customHeight="1" thickBot="1" x14ac:dyDescent="0.3">
      <c r="B8" s="95"/>
      <c r="C8" s="129"/>
      <c r="D8" s="130"/>
      <c r="E8" s="131"/>
      <c r="F8" s="132"/>
      <c r="G8" s="96"/>
      <c r="H8" s="96"/>
      <c r="I8" s="96"/>
      <c r="J8" s="96"/>
      <c r="K8" s="97"/>
      <c r="L8" s="98" t="s">
        <v>228</v>
      </c>
      <c r="N8" s="133"/>
    </row>
    <row r="9" spans="2:24" ht="9.75" customHeight="1" x14ac:dyDescent="0.25">
      <c r="B9" s="99"/>
      <c r="C9" s="99"/>
      <c r="D9" s="99"/>
      <c r="E9" s="99"/>
      <c r="F9" s="99"/>
      <c r="G9" s="100"/>
      <c r="H9" s="99"/>
      <c r="I9" s="99"/>
      <c r="J9" s="99"/>
      <c r="K9" s="99"/>
      <c r="L9" s="99"/>
      <c r="N9" s="133"/>
    </row>
    <row r="28" spans="2:12" ht="26.25" customHeight="1" x14ac:dyDescent="0.25">
      <c r="B28" s="134" t="s">
        <v>17</v>
      </c>
      <c r="C28" s="135"/>
      <c r="D28" s="135"/>
      <c r="E28" s="135"/>
      <c r="F28" s="101"/>
      <c r="G28" s="102"/>
      <c r="H28" s="101"/>
      <c r="I28" s="101"/>
      <c r="J28" s="101"/>
      <c r="K28" s="101"/>
      <c r="L28" s="101"/>
    </row>
    <row r="29" spans="2:12" ht="15.75" customHeight="1" x14ac:dyDescent="0.2">
      <c r="B29" s="136" t="s">
        <v>204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2:12" ht="15.75" customHeight="1" x14ac:dyDescent="0.2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2:12" ht="15.75" x14ac:dyDescent="0.25">
      <c r="B31" s="103" t="s">
        <v>22</v>
      </c>
      <c r="C31" s="103"/>
      <c r="D31" s="101"/>
      <c r="E31" s="101"/>
      <c r="F31" s="104"/>
      <c r="G31" s="104"/>
      <c r="H31" s="104"/>
      <c r="I31" s="104"/>
      <c r="J31" s="104"/>
      <c r="K31" s="101"/>
      <c r="L31" s="101"/>
    </row>
    <row r="32" spans="2:12" ht="12.75" customHeight="1" x14ac:dyDescent="0.2"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25" ht="15.75" hidden="1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25" ht="15.75" x14ac:dyDescent="0.25">
      <c r="B34" s="107" t="s">
        <v>18</v>
      </c>
      <c r="C34" s="103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25" ht="15.75" x14ac:dyDescent="0.25">
      <c r="B35" s="103" t="s">
        <v>203</v>
      </c>
      <c r="C35" s="103"/>
      <c r="D35" s="101"/>
      <c r="E35" s="101"/>
      <c r="F35" s="137"/>
      <c r="G35" s="137"/>
      <c r="H35" s="137"/>
      <c r="I35" s="137"/>
      <c r="J35" s="137"/>
      <c r="K35" s="101"/>
      <c r="L35" s="101"/>
    </row>
    <row r="36" spans="2:25" ht="15.75" x14ac:dyDescent="0.25">
      <c r="B36" s="108" t="s">
        <v>188</v>
      </c>
      <c r="C36" s="108"/>
      <c r="D36" s="109"/>
      <c r="E36" s="109"/>
      <c r="F36" s="110"/>
      <c r="G36" s="104"/>
      <c r="H36" s="104"/>
      <c r="I36" s="104"/>
      <c r="J36" s="104"/>
      <c r="K36" s="101"/>
      <c r="L36" s="101"/>
    </row>
    <row r="37" spans="2:25" ht="15.75" x14ac:dyDescent="0.25">
      <c r="B37" s="108" t="s">
        <v>189</v>
      </c>
      <c r="C37" s="108"/>
      <c r="D37" s="109"/>
      <c r="E37" s="109"/>
      <c r="F37" s="110"/>
      <c r="G37" s="104"/>
      <c r="H37" s="104"/>
      <c r="I37" s="104"/>
      <c r="J37" s="104"/>
      <c r="K37" s="101"/>
      <c r="L37" s="101"/>
    </row>
    <row r="38" spans="2:25" ht="15.75" x14ac:dyDescent="0.25">
      <c r="B38" s="108" t="s">
        <v>192</v>
      </c>
      <c r="C38" s="108"/>
      <c r="D38" s="109"/>
      <c r="E38" s="109"/>
      <c r="F38" s="110"/>
      <c r="G38" s="104"/>
      <c r="H38" s="104"/>
      <c r="I38" s="104"/>
      <c r="J38" s="104"/>
      <c r="K38" s="101"/>
      <c r="L38" s="101"/>
    </row>
    <row r="39" spans="2:25" ht="15.75" x14ac:dyDescent="0.25">
      <c r="B39" s="108" t="s">
        <v>190</v>
      </c>
      <c r="C39" s="108"/>
      <c r="D39" s="109"/>
      <c r="E39" s="109"/>
      <c r="F39" s="110"/>
      <c r="G39" s="104"/>
      <c r="H39" s="104"/>
      <c r="I39" s="104"/>
      <c r="J39" s="104"/>
      <c r="K39" s="101"/>
      <c r="L39" s="101"/>
    </row>
    <row r="40" spans="2:25" ht="15.75" x14ac:dyDescent="0.25">
      <c r="B40" s="108" t="s">
        <v>191</v>
      </c>
      <c r="C40" s="108"/>
      <c r="D40" s="109"/>
      <c r="E40" s="109"/>
      <c r="F40" s="110"/>
      <c r="G40" s="104"/>
      <c r="H40" s="104"/>
      <c r="I40" s="104"/>
      <c r="J40" s="104"/>
      <c r="K40" s="101"/>
      <c r="L40" s="101"/>
    </row>
    <row r="41" spans="2:25" ht="15.75" x14ac:dyDescent="0.25">
      <c r="B41" s="108"/>
      <c r="C41" s="108"/>
      <c r="D41" s="109"/>
      <c r="E41" s="109"/>
      <c r="F41" s="110"/>
      <c r="G41" s="104"/>
      <c r="H41" s="104"/>
      <c r="I41" s="104"/>
      <c r="J41" s="104"/>
      <c r="K41" s="101"/>
      <c r="L41" s="101"/>
    </row>
    <row r="42" spans="2:25" ht="18" customHeight="1" x14ac:dyDescent="0.2">
      <c r="B42" s="138" t="s">
        <v>19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2:25" ht="12.75" customHeight="1" x14ac:dyDescent="0.2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</row>
    <row r="44" spans="2:25" ht="15.75" x14ac:dyDescent="0.25">
      <c r="B44" s="103" t="s">
        <v>136</v>
      </c>
      <c r="C44" s="103"/>
      <c r="D44" s="103"/>
      <c r="E44" s="103"/>
      <c r="F44" s="103" t="s">
        <v>140</v>
      </c>
      <c r="G44" s="103"/>
      <c r="H44" s="103"/>
      <c r="I44" s="103"/>
      <c r="J44" s="103" t="s">
        <v>14</v>
      </c>
      <c r="K44" s="103"/>
      <c r="L44" s="103"/>
      <c r="M44" s="111"/>
      <c r="N44" s="103"/>
      <c r="O44" s="103"/>
      <c r="P44" s="103"/>
      <c r="Q44" s="103"/>
      <c r="R44" s="103"/>
      <c r="S44" s="103"/>
      <c r="T44" s="103"/>
      <c r="X44" s="112"/>
      <c r="Y44" s="112"/>
    </row>
    <row r="45" spans="2:25" ht="15.75" x14ac:dyDescent="0.25">
      <c r="B45" s="103" t="s">
        <v>137</v>
      </c>
      <c r="C45" s="103"/>
      <c r="D45" s="103"/>
      <c r="E45" s="103"/>
      <c r="F45" s="103" t="s">
        <v>143</v>
      </c>
      <c r="G45" s="103"/>
      <c r="H45" s="103"/>
      <c r="I45" s="103"/>
      <c r="J45" s="103" t="s">
        <v>20</v>
      </c>
      <c r="K45" s="103"/>
      <c r="L45" s="103"/>
      <c r="M45" s="111"/>
      <c r="N45" s="103"/>
      <c r="O45" s="103"/>
      <c r="P45" s="103"/>
      <c r="Q45" s="103"/>
      <c r="R45" s="103"/>
      <c r="S45" s="103"/>
      <c r="T45" s="103"/>
      <c r="X45" s="112"/>
      <c r="Y45" s="112"/>
    </row>
    <row r="46" spans="2:25" ht="15.75" x14ac:dyDescent="0.25">
      <c r="B46" s="103" t="s">
        <v>15</v>
      </c>
      <c r="C46" s="103"/>
      <c r="D46" s="103"/>
      <c r="E46" s="103"/>
      <c r="F46" s="103" t="s">
        <v>15</v>
      </c>
      <c r="G46" s="103"/>
      <c r="H46" s="103"/>
      <c r="I46" s="103"/>
      <c r="J46" s="103" t="s">
        <v>15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X46" s="139"/>
      <c r="Y46" s="139"/>
    </row>
    <row r="47" spans="2:25" ht="15.75" x14ac:dyDescent="0.25">
      <c r="B47" s="113" t="s">
        <v>138</v>
      </c>
      <c r="C47" s="103"/>
      <c r="D47" s="103"/>
      <c r="E47" s="103"/>
      <c r="F47" s="113" t="s">
        <v>141</v>
      </c>
      <c r="G47" s="103"/>
      <c r="H47" s="103"/>
      <c r="I47" s="103"/>
      <c r="J47" s="140" t="s">
        <v>16</v>
      </c>
      <c r="K47" s="135"/>
      <c r="L47" s="135"/>
      <c r="M47" s="103"/>
      <c r="N47" s="103"/>
      <c r="O47" s="114"/>
      <c r="P47" s="115"/>
      <c r="Q47" s="114"/>
      <c r="R47" s="103"/>
      <c r="S47" s="103"/>
      <c r="T47" s="103"/>
    </row>
    <row r="48" spans="2:25" ht="15.75" x14ac:dyDescent="0.25">
      <c r="B48" s="103" t="s">
        <v>139</v>
      </c>
      <c r="C48" s="103"/>
      <c r="D48" s="103"/>
      <c r="E48" s="103"/>
      <c r="F48" s="103" t="s">
        <v>142</v>
      </c>
      <c r="G48" s="103"/>
      <c r="H48" s="103"/>
      <c r="I48" s="103"/>
      <c r="J48" s="116" t="s">
        <v>21</v>
      </c>
      <c r="K48" s="117"/>
      <c r="L48" s="118"/>
      <c r="M48" s="103"/>
      <c r="N48" s="103"/>
      <c r="O48" s="114"/>
      <c r="P48" s="118"/>
      <c r="Q48" s="118"/>
      <c r="R48" s="103"/>
      <c r="S48" s="103"/>
      <c r="T48" s="103"/>
    </row>
    <row r="49" spans="2:12" ht="15.75" x14ac:dyDescent="0.25">
      <c r="B49" s="103"/>
      <c r="C49" s="101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 ht="12.75" customHeight="1" x14ac:dyDescent="0.2">
      <c r="B50" s="123" t="s">
        <v>144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2:12" ht="16.5" customHeight="1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</sheetData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H26" sqref="H26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41" t="s">
        <v>24</v>
      </c>
      <c r="C1" s="142"/>
      <c r="D1" s="142"/>
      <c r="E1" s="4"/>
      <c r="F1" s="56">
        <v>2017</v>
      </c>
      <c r="H1" s="143" t="s">
        <v>147</v>
      </c>
      <c r="I1" s="143"/>
      <c r="J1" s="143"/>
      <c r="K1" s="143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5" t="s">
        <v>3</v>
      </c>
      <c r="C4" s="75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>
        <f>IF(C34=0, "",C13/C34)</f>
        <v>0.78344256095124154</v>
      </c>
      <c r="K4" s="32">
        <f>IF(D34=0, "",D13/D34)</f>
        <v>0.81150388437969512</v>
      </c>
      <c r="L4" s="28" t="s">
        <v>50</v>
      </c>
      <c r="M4" s="28"/>
    </row>
    <row r="5" spans="1:13" x14ac:dyDescent="0.25">
      <c r="A5" s="5" t="s">
        <v>2</v>
      </c>
      <c r="B5" s="54">
        <v>13019.09</v>
      </c>
      <c r="C5" s="54">
        <f>11326.19-864.15-2334.84-654.68</f>
        <v>7472.52</v>
      </c>
      <c r="D5" s="13">
        <f>AVERAGE(B5:C5)</f>
        <v>10245.805</v>
      </c>
      <c r="E5" s="14"/>
      <c r="F5" s="15"/>
      <c r="H5" s="29" t="s">
        <v>29</v>
      </c>
      <c r="I5" s="31">
        <f>B13-B34</f>
        <v>-40811.410000000003</v>
      </c>
      <c r="J5" s="31">
        <f>C13-C34</f>
        <v>-57666.969999999972</v>
      </c>
      <c r="K5" s="31">
        <f>D13-D34</f>
        <v>-49239.19</v>
      </c>
      <c r="L5" s="28" t="s">
        <v>51</v>
      </c>
      <c r="M5" s="28"/>
    </row>
    <row r="6" spans="1:13" x14ac:dyDescent="0.25">
      <c r="A6" s="5" t="s">
        <v>40</v>
      </c>
      <c r="B6" s="54">
        <v>205</v>
      </c>
      <c r="C6" s="54">
        <v>550</v>
      </c>
      <c r="D6" s="13">
        <f t="shared" ref="D6:D11" si="0">AVERAGE(B6:C6)</f>
        <v>377.5</v>
      </c>
      <c r="E6" s="14"/>
      <c r="F6" s="16"/>
      <c r="H6" s="29" t="s">
        <v>31</v>
      </c>
      <c r="I6" s="33">
        <f>IF(B23=0,"",B42/B23)</f>
        <v>0.31834959481372271</v>
      </c>
      <c r="J6" s="33">
        <f>IF(C23=0,"",C42/C23)</f>
        <v>0.29865802142640285</v>
      </c>
      <c r="K6" s="33">
        <f>IF(D23=0,"",D42/D23)</f>
        <v>0.30852764517031317</v>
      </c>
      <c r="L6" s="28" t="s">
        <v>52</v>
      </c>
      <c r="M6" s="28"/>
    </row>
    <row r="7" spans="1:13" x14ac:dyDescent="0.25">
      <c r="A7" s="5" t="s">
        <v>41</v>
      </c>
      <c r="B7" s="54">
        <v>67905</v>
      </c>
      <c r="C7" s="54">
        <v>80600</v>
      </c>
      <c r="D7" s="13">
        <f t="shared" si="0"/>
        <v>74252.5</v>
      </c>
      <c r="E7" s="14"/>
      <c r="F7" s="16"/>
      <c r="H7" s="29" t="s">
        <v>32</v>
      </c>
      <c r="I7" s="33">
        <f>IF(B23=0,"",B44/B23)</f>
        <v>0.6816504051862774</v>
      </c>
      <c r="J7" s="33">
        <f>IF(C23=0,"",C44/C23)</f>
        <v>0.70134197857359715</v>
      </c>
      <c r="K7" s="33">
        <f>IF(D23=0,"",D44/D23)</f>
        <v>0.69147235482968683</v>
      </c>
      <c r="L7" s="28" t="s">
        <v>30</v>
      </c>
      <c r="M7" s="28"/>
    </row>
    <row r="8" spans="1:13" x14ac:dyDescent="0.25">
      <c r="A8" s="5" t="s">
        <v>42</v>
      </c>
      <c r="B8" s="54">
        <f>300*45*4.5*0.75</f>
        <v>45562.5</v>
      </c>
      <c r="C8" s="54">
        <f>200*0.75*45*4.5</f>
        <v>30375</v>
      </c>
      <c r="D8" s="13">
        <f t="shared" si="0"/>
        <v>37968.75</v>
      </c>
      <c r="E8" s="14"/>
      <c r="F8" s="16"/>
      <c r="H8" s="29" t="s">
        <v>33</v>
      </c>
      <c r="I8" s="33">
        <f>IF(B44=0,"",B42/B44)</f>
        <v>0.46702766167464688</v>
      </c>
      <c r="J8" s="33">
        <f t="shared" ref="J8:K8" si="1">IF(C44=0,"",C42/C44)</f>
        <v>0.42583793719836832</v>
      </c>
      <c r="K8" s="33">
        <f t="shared" si="1"/>
        <v>0.44618941453748373</v>
      </c>
      <c r="L8" s="28" t="s">
        <v>53</v>
      </c>
      <c r="M8" s="28"/>
    </row>
    <row r="9" spans="1:13" x14ac:dyDescent="0.25">
      <c r="A9" s="5" t="s">
        <v>43</v>
      </c>
      <c r="B9" s="54">
        <v>50850</v>
      </c>
      <c r="C9" s="54">
        <v>52875</v>
      </c>
      <c r="D9" s="13">
        <f t="shared" si="0"/>
        <v>51862.5</v>
      </c>
      <c r="E9" s="14"/>
      <c r="F9" s="16"/>
    </row>
    <row r="10" spans="1:13" x14ac:dyDescent="0.25">
      <c r="A10" s="5" t="s">
        <v>44</v>
      </c>
      <c r="B10" s="54">
        <v>37800</v>
      </c>
      <c r="C10" s="54">
        <v>36750</v>
      </c>
      <c r="D10" s="13">
        <f t="shared" si="0"/>
        <v>37275</v>
      </c>
      <c r="E10" s="14"/>
      <c r="F10" s="16"/>
    </row>
    <row r="11" spans="1:13" ht="19.5" x14ac:dyDescent="0.3">
      <c r="A11" s="5" t="s">
        <v>45</v>
      </c>
      <c r="B11" s="54">
        <v>0</v>
      </c>
      <c r="C11" s="54">
        <v>0</v>
      </c>
      <c r="D11" s="13">
        <f t="shared" si="0"/>
        <v>0</v>
      </c>
      <c r="E11" s="14"/>
      <c r="F11" s="16"/>
      <c r="H11" s="144" t="s">
        <v>151</v>
      </c>
      <c r="I11" s="144"/>
      <c r="J11" s="144"/>
      <c r="K11" s="144"/>
      <c r="L11" s="144"/>
      <c r="M11" s="144"/>
    </row>
    <row r="12" spans="1:13" x14ac:dyDescent="0.25">
      <c r="A12" s="5"/>
      <c r="B12" s="6"/>
      <c r="C12" s="6"/>
      <c r="D12" s="17"/>
      <c r="E12" s="6"/>
      <c r="F12" s="16"/>
      <c r="H12" s="60"/>
      <c r="I12" s="60"/>
      <c r="J12" s="60"/>
      <c r="K12" s="60"/>
      <c r="L12" s="60"/>
      <c r="M12" s="60"/>
    </row>
    <row r="13" spans="1:13" x14ac:dyDescent="0.25">
      <c r="A13" s="5" t="s">
        <v>6</v>
      </c>
      <c r="B13" s="18">
        <f>SUM(B5:B11)</f>
        <v>215341.59</v>
      </c>
      <c r="C13" s="18">
        <f>SUM(C5:C11)</f>
        <v>208622.52000000002</v>
      </c>
      <c r="D13" s="13">
        <f>AVERAGE(B13:C13)</f>
        <v>211982.05499999999</v>
      </c>
      <c r="E13" s="14"/>
      <c r="F13" s="65" t="s">
        <v>161</v>
      </c>
      <c r="H13" s="29"/>
      <c r="I13" s="61" t="s">
        <v>26</v>
      </c>
      <c r="J13" s="61" t="s">
        <v>27</v>
      </c>
      <c r="K13" s="61" t="s">
        <v>5</v>
      </c>
      <c r="L13" s="60"/>
      <c r="M13" s="60"/>
    </row>
    <row r="14" spans="1:13" x14ac:dyDescent="0.25">
      <c r="A14" s="5"/>
      <c r="B14" s="6"/>
      <c r="C14" s="6"/>
      <c r="D14" s="17"/>
      <c r="E14" s="6"/>
      <c r="F14" s="65"/>
      <c r="H14" s="29" t="s">
        <v>31</v>
      </c>
      <c r="I14" s="33">
        <f>IF(B49=0,"",B52/B49)</f>
        <v>0.31834959481372271</v>
      </c>
      <c r="J14" s="33">
        <f>IF(C49=0,"",C52/C49)</f>
        <v>0.29865802142640285</v>
      </c>
      <c r="K14" s="33">
        <f>IF(D49=0,"",D52/D49)</f>
        <v>0.30852764517031317</v>
      </c>
      <c r="L14" s="28" t="s">
        <v>152</v>
      </c>
      <c r="M14" s="28"/>
    </row>
    <row r="15" spans="1:13" x14ac:dyDescent="0.25">
      <c r="A15" s="5" t="s">
        <v>8</v>
      </c>
      <c r="B15" s="54">
        <v>295100</v>
      </c>
      <c r="C15" s="54">
        <v>296200</v>
      </c>
      <c r="D15" s="13">
        <f t="shared" ref="D15:D23" si="2">AVERAGE(B15:C15)</f>
        <v>295650</v>
      </c>
      <c r="E15" s="14"/>
      <c r="F15" s="66"/>
      <c r="H15" s="29" t="s">
        <v>32</v>
      </c>
      <c r="I15" s="33">
        <f>IF(B49=0,"",B55/B49)</f>
        <v>0.6816504051862774</v>
      </c>
      <c r="J15" s="33">
        <f>IF(C49=0,"",C55/C49)</f>
        <v>0.70134197857359715</v>
      </c>
      <c r="K15" s="33">
        <f>IF(D49=0,"",D55/D49)</f>
        <v>0.69147235482968683</v>
      </c>
      <c r="L15" s="28" t="s">
        <v>159</v>
      </c>
      <c r="M15" s="28"/>
    </row>
    <row r="16" spans="1:13" x14ac:dyDescent="0.25">
      <c r="A16" s="5" t="s">
        <v>10</v>
      </c>
      <c r="B16" s="54">
        <v>465035</v>
      </c>
      <c r="C16" s="54">
        <f>(B16*0.9)+9547.5-4800</f>
        <v>423279</v>
      </c>
      <c r="D16" s="13">
        <f t="shared" si="2"/>
        <v>444157</v>
      </c>
      <c r="E16" s="14"/>
      <c r="F16" s="65"/>
      <c r="H16" s="29" t="s">
        <v>33</v>
      </c>
      <c r="I16" s="33">
        <f>IF(B55=0,"",B52/B55)</f>
        <v>0.46702766167464688</v>
      </c>
      <c r="J16" s="33">
        <f>IF(C55=0,"",C52/C55)</f>
        <v>0.42583793719836832</v>
      </c>
      <c r="K16" s="33">
        <f>IF(D55=0,"",D52/D55)</f>
        <v>0.44618941453748373</v>
      </c>
      <c r="L16" s="28" t="s">
        <v>160</v>
      </c>
      <c r="M16" s="28"/>
    </row>
    <row r="17" spans="1:10" x14ac:dyDescent="0.25">
      <c r="A17" s="5" t="s">
        <v>9</v>
      </c>
      <c r="B17" s="54">
        <v>40201</v>
      </c>
      <c r="C17" s="54">
        <f>32849+(B17*0.95)</f>
        <v>71039.95</v>
      </c>
      <c r="D17" s="13">
        <f t="shared" si="2"/>
        <v>55620.474999999999</v>
      </c>
      <c r="E17" s="14"/>
      <c r="F17" s="65"/>
    </row>
    <row r="18" spans="1:10" x14ac:dyDescent="0.25">
      <c r="A18" s="5" t="s">
        <v>11</v>
      </c>
      <c r="B18" s="54">
        <v>25453</v>
      </c>
      <c r="C18" s="54">
        <v>27763</v>
      </c>
      <c r="D18" s="13">
        <f t="shared" si="2"/>
        <v>26608</v>
      </c>
      <c r="E18" s="14"/>
      <c r="F18" s="65"/>
    </row>
    <row r="19" spans="1:10" x14ac:dyDescent="0.25">
      <c r="A19" s="5" t="s">
        <v>12</v>
      </c>
      <c r="B19" s="54">
        <v>1904000</v>
      </c>
      <c r="C19" s="54">
        <v>1904000</v>
      </c>
      <c r="D19" s="13">
        <f t="shared" si="2"/>
        <v>1904000</v>
      </c>
      <c r="E19" s="14"/>
      <c r="F19" s="65"/>
    </row>
    <row r="20" spans="1:10" x14ac:dyDescent="0.25">
      <c r="A20" s="5"/>
      <c r="B20" s="6"/>
      <c r="C20" s="6"/>
      <c r="D20" s="6"/>
      <c r="E20" s="6"/>
      <c r="F20" s="65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2722281.95</v>
      </c>
      <c r="D21" s="14">
        <f t="shared" si="2"/>
        <v>2726035.4750000001</v>
      </c>
      <c r="E21" s="14"/>
      <c r="F21" s="65" t="s">
        <v>162</v>
      </c>
    </row>
    <row r="22" spans="1:10" x14ac:dyDescent="0.25">
      <c r="A22" s="5"/>
      <c r="B22" s="6"/>
      <c r="C22" s="6"/>
      <c r="D22" s="6"/>
      <c r="E22" s="6"/>
      <c r="F22" s="65"/>
      <c r="H22" s="35"/>
    </row>
    <row r="23" spans="1:10" x14ac:dyDescent="0.25">
      <c r="A23" s="20" t="s">
        <v>153</v>
      </c>
      <c r="B23" s="2">
        <f>B13+B21</f>
        <v>2945130.59</v>
      </c>
      <c r="C23" s="2">
        <f t="shared" ref="C23" si="4">C13+C21</f>
        <v>2930904.47</v>
      </c>
      <c r="D23" s="21">
        <f t="shared" si="2"/>
        <v>2938017.5300000003</v>
      </c>
      <c r="E23" s="14"/>
      <c r="F23" s="65" t="s">
        <v>163</v>
      </c>
      <c r="H23" s="76"/>
      <c r="I23" s="76"/>
    </row>
    <row r="24" spans="1:10" x14ac:dyDescent="0.25">
      <c r="A24" s="5"/>
      <c r="B24" s="6"/>
      <c r="C24" s="6"/>
      <c r="D24" s="6"/>
      <c r="E24" s="6"/>
      <c r="F24" s="19"/>
      <c r="H24" s="76"/>
      <c r="I24" s="76"/>
    </row>
    <row r="25" spans="1:10" ht="18" thickBot="1" x14ac:dyDescent="0.35">
      <c r="A25" s="8" t="s">
        <v>173</v>
      </c>
      <c r="B25" s="1"/>
      <c r="C25" s="1"/>
      <c r="D25" s="1"/>
      <c r="E25" s="1"/>
      <c r="F25" s="22"/>
      <c r="H25" s="76"/>
      <c r="I25" s="76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6"/>
      <c r="J26" s="77"/>
    </row>
    <row r="27" spans="1:10" x14ac:dyDescent="0.25">
      <c r="A27" s="5" t="s">
        <v>34</v>
      </c>
      <c r="B27" s="54">
        <v>550</v>
      </c>
      <c r="C27" s="54">
        <v>800</v>
      </c>
      <c r="D27" s="55">
        <f t="shared" ref="D27:D34" si="5">AVERAGE(B27:C27)</f>
        <v>675</v>
      </c>
      <c r="E27" s="14"/>
      <c r="F27" s="23"/>
      <c r="H27" s="35"/>
      <c r="I27" s="76"/>
    </row>
    <row r="28" spans="1:10" x14ac:dyDescent="0.25">
      <c r="A28" s="5" t="s">
        <v>54</v>
      </c>
      <c r="B28" s="54">
        <v>16500</v>
      </c>
      <c r="C28" s="54">
        <v>17810</v>
      </c>
      <c r="D28" s="55">
        <f t="shared" si="5"/>
        <v>17155</v>
      </c>
      <c r="E28" s="14"/>
      <c r="F28" s="23"/>
      <c r="I28" s="76"/>
    </row>
    <row r="29" spans="1:10" x14ac:dyDescent="0.25">
      <c r="A29" s="5" t="s">
        <v>35</v>
      </c>
      <c r="B29" s="54">
        <v>0</v>
      </c>
      <c r="C29" s="54">
        <v>0</v>
      </c>
      <c r="D29" s="55">
        <f t="shared" si="5"/>
        <v>0</v>
      </c>
      <c r="E29" s="14"/>
      <c r="F29" s="23"/>
    </row>
    <row r="30" spans="1:10" x14ac:dyDescent="0.25">
      <c r="A30" s="5" t="s">
        <v>49</v>
      </c>
      <c r="B30" s="54">
        <v>130048</v>
      </c>
      <c r="C30" s="54">
        <v>150000</v>
      </c>
      <c r="D30" s="55">
        <f t="shared" si="5"/>
        <v>140024</v>
      </c>
      <c r="E30" s="14"/>
      <c r="F30" s="23"/>
      <c r="H30" s="35"/>
    </row>
    <row r="31" spans="1:10" x14ac:dyDescent="0.25">
      <c r="A31" s="5" t="s">
        <v>36</v>
      </c>
      <c r="B31" s="54">
        <v>80578</v>
      </c>
      <c r="C31" s="54">
        <f>6681.26+14574.5+21180.98+29582.75</f>
        <v>72019.490000000005</v>
      </c>
      <c r="D31" s="55">
        <f t="shared" si="5"/>
        <v>76298.744999999995</v>
      </c>
      <c r="E31" s="14"/>
      <c r="F31" s="23"/>
    </row>
    <row r="32" spans="1:10" x14ac:dyDescent="0.25">
      <c r="A32" s="5" t="s">
        <v>37</v>
      </c>
      <c r="B32" s="54">
        <v>28477</v>
      </c>
      <c r="C32" s="54">
        <v>25660</v>
      </c>
      <c r="D32" s="55">
        <f t="shared" si="5"/>
        <v>27068.5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266289.49</v>
      </c>
      <c r="D34" s="14">
        <f t="shared" si="5"/>
        <v>261221.245</v>
      </c>
      <c r="E34" s="14"/>
      <c r="F34" s="70" t="s">
        <v>164</v>
      </c>
    </row>
    <row r="35" spans="1:13" x14ac:dyDescent="0.25">
      <c r="A35" s="5"/>
      <c r="B35" s="6"/>
      <c r="C35" s="6"/>
      <c r="D35" s="6"/>
      <c r="E35" s="6"/>
      <c r="F35" s="70"/>
    </row>
    <row r="36" spans="1:13" x14ac:dyDescent="0.25">
      <c r="A36" s="5" t="s">
        <v>39</v>
      </c>
      <c r="B36" s="54">
        <v>0</v>
      </c>
      <c r="C36" s="54">
        <v>0</v>
      </c>
      <c r="D36" s="55">
        <f t="shared" ref="D36:D46" si="6">AVERAGE(B36:C36)</f>
        <v>0</v>
      </c>
      <c r="E36" s="14"/>
      <c r="F36" s="70"/>
    </row>
    <row r="37" spans="1:13" x14ac:dyDescent="0.25">
      <c r="A37" s="5" t="s">
        <v>46</v>
      </c>
      <c r="B37" s="54">
        <v>154933.42000000001</v>
      </c>
      <c r="C37" s="54">
        <f>21929.02+46253.34+(65495.29-21180.98)</f>
        <v>112496.67</v>
      </c>
      <c r="D37" s="55">
        <f t="shared" si="6"/>
        <v>133715.04500000001</v>
      </c>
      <c r="E37" s="14"/>
      <c r="F37" s="70"/>
    </row>
    <row r="38" spans="1:13" x14ac:dyDescent="0.25">
      <c r="A38" s="5" t="s">
        <v>47</v>
      </c>
      <c r="B38" s="54">
        <v>526494.71</v>
      </c>
      <c r="C38" s="54">
        <v>496551.97</v>
      </c>
      <c r="D38" s="55">
        <f t="shared" si="6"/>
        <v>511523.33999999997</v>
      </c>
      <c r="E38" s="14"/>
      <c r="F38" s="70"/>
    </row>
    <row r="39" spans="1:13" x14ac:dyDescent="0.25">
      <c r="A39" s="5"/>
      <c r="B39" s="6"/>
      <c r="C39" s="6"/>
      <c r="D39" s="6"/>
      <c r="E39" s="6"/>
      <c r="F39" s="70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609048.64</v>
      </c>
      <c r="D40" s="14">
        <f t="shared" si="6"/>
        <v>645238.38500000001</v>
      </c>
      <c r="E40" s="14"/>
      <c r="F40" s="70" t="s">
        <v>165</v>
      </c>
    </row>
    <row r="41" spans="1:13" x14ac:dyDescent="0.25">
      <c r="A41" s="5"/>
      <c r="B41" s="6"/>
      <c r="C41" s="6"/>
      <c r="D41" s="6"/>
      <c r="E41" s="6"/>
      <c r="F41" s="70"/>
    </row>
    <row r="42" spans="1:13" x14ac:dyDescent="0.25">
      <c r="A42" s="20" t="s">
        <v>154</v>
      </c>
      <c r="B42" s="2">
        <f>B34+B40</f>
        <v>937581.13</v>
      </c>
      <c r="C42" s="2">
        <f t="shared" ref="C42" si="8">C34+C40</f>
        <v>875338.13</v>
      </c>
      <c r="D42" s="21">
        <f t="shared" si="6"/>
        <v>906459.63</v>
      </c>
      <c r="E42" s="14"/>
      <c r="F42" s="70" t="s">
        <v>166</v>
      </c>
    </row>
    <row r="43" spans="1:13" x14ac:dyDescent="0.25">
      <c r="A43" s="5"/>
      <c r="B43" s="6"/>
      <c r="C43" s="6"/>
      <c r="D43" s="6"/>
      <c r="E43" s="6"/>
      <c r="F43" s="70"/>
    </row>
    <row r="44" spans="1:13" x14ac:dyDescent="0.25">
      <c r="A44" s="20" t="s">
        <v>155</v>
      </c>
      <c r="B44" s="2">
        <f>B23-B42</f>
        <v>2007549.46</v>
      </c>
      <c r="C44" s="2">
        <f>C23-C42</f>
        <v>2055566.3400000003</v>
      </c>
      <c r="D44" s="21">
        <f t="shared" si="6"/>
        <v>2031557.9000000001</v>
      </c>
      <c r="E44" s="14"/>
      <c r="F44" s="70" t="s">
        <v>167</v>
      </c>
    </row>
    <row r="45" spans="1:13" x14ac:dyDescent="0.25">
      <c r="A45" s="5"/>
      <c r="B45" s="6"/>
      <c r="C45" s="6"/>
      <c r="D45" s="6"/>
      <c r="E45" s="6"/>
      <c r="F45" s="70"/>
    </row>
    <row r="46" spans="1:13" x14ac:dyDescent="0.25">
      <c r="A46" s="24" t="s">
        <v>156</v>
      </c>
      <c r="B46" s="25">
        <f>B42+B44</f>
        <v>2945130.59</v>
      </c>
      <c r="C46" s="25">
        <f>C42+C44</f>
        <v>2930904.47</v>
      </c>
      <c r="D46" s="26">
        <f t="shared" si="6"/>
        <v>2938017.5300000003</v>
      </c>
      <c r="E46" s="27"/>
      <c r="F46" s="71" t="s">
        <v>168</v>
      </c>
    </row>
    <row r="47" spans="1:13" x14ac:dyDescent="0.25">
      <c r="A47" s="63"/>
      <c r="B47" s="67" t="s">
        <v>3</v>
      </c>
      <c r="C47" s="67" t="s">
        <v>4</v>
      </c>
      <c r="D47" s="68" t="s">
        <v>5</v>
      </c>
      <c r="E47" s="68"/>
      <c r="F47" s="69" t="s">
        <v>7</v>
      </c>
    </row>
    <row r="48" spans="1:13" x14ac:dyDescent="0.25">
      <c r="A48" s="5" t="s">
        <v>148</v>
      </c>
      <c r="B48" s="54">
        <v>0</v>
      </c>
      <c r="C48" s="54">
        <v>0</v>
      </c>
      <c r="D48" s="14">
        <f>AVERAGE(B48:C48)</f>
        <v>0</v>
      </c>
      <c r="E48" s="6"/>
      <c r="F48" s="7"/>
      <c r="H48" s="60"/>
      <c r="I48" s="60"/>
      <c r="J48" s="60"/>
      <c r="K48" s="60"/>
      <c r="L48" s="60"/>
      <c r="M48" s="60"/>
    </row>
    <row r="49" spans="1:13" s="60" customFormat="1" x14ac:dyDescent="0.25">
      <c r="A49" s="20" t="s">
        <v>149</v>
      </c>
      <c r="B49" s="2">
        <f>B23+B48</f>
        <v>2945130.59</v>
      </c>
      <c r="C49" s="2">
        <f>C23+C48</f>
        <v>2930904.47</v>
      </c>
      <c r="D49" s="21">
        <f t="shared" ref="D49:D55" si="9">AVERAGE(B49:C49)</f>
        <v>2938017.5300000003</v>
      </c>
      <c r="E49" s="6"/>
      <c r="F49" s="70" t="s">
        <v>169</v>
      </c>
      <c r="H49"/>
      <c r="I49"/>
      <c r="J49"/>
      <c r="K49"/>
      <c r="L49"/>
      <c r="M49"/>
    </row>
    <row r="50" spans="1:13" s="60" customFormat="1" x14ac:dyDescent="0.25">
      <c r="A50" s="5"/>
      <c r="B50" s="6"/>
      <c r="C50" s="6"/>
      <c r="D50" s="14"/>
      <c r="E50" s="6"/>
      <c r="F50" s="70"/>
      <c r="H50"/>
      <c r="I50"/>
      <c r="J50"/>
      <c r="K50"/>
      <c r="L50"/>
      <c r="M50"/>
    </row>
    <row r="51" spans="1:13" x14ac:dyDescent="0.25">
      <c r="A51" s="5" t="s">
        <v>150</v>
      </c>
      <c r="B51" s="54">
        <v>0</v>
      </c>
      <c r="C51" s="54">
        <v>0</v>
      </c>
      <c r="D51" s="14">
        <f t="shared" si="9"/>
        <v>0</v>
      </c>
      <c r="E51" s="6"/>
      <c r="F51" s="70"/>
    </row>
    <row r="52" spans="1:13" x14ac:dyDescent="0.25">
      <c r="A52" s="20" t="s">
        <v>174</v>
      </c>
      <c r="B52" s="2">
        <f>B42+B51</f>
        <v>937581.13</v>
      </c>
      <c r="C52" s="2">
        <f>C42+C51</f>
        <v>875338.13</v>
      </c>
      <c r="D52" s="21">
        <f t="shared" si="9"/>
        <v>906459.63</v>
      </c>
      <c r="E52" s="6"/>
      <c r="F52" s="70" t="s">
        <v>170</v>
      </c>
    </row>
    <row r="53" spans="1:13" x14ac:dyDescent="0.25">
      <c r="A53" s="5"/>
      <c r="B53" s="6"/>
      <c r="C53" s="6"/>
      <c r="D53" s="14"/>
      <c r="E53" s="6"/>
      <c r="F53" s="70"/>
    </row>
    <row r="54" spans="1:13" s="60" customFormat="1" x14ac:dyDescent="0.25">
      <c r="A54" s="5" t="s">
        <v>157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0" t="s">
        <v>171</v>
      </c>
    </row>
    <row r="55" spans="1:13" x14ac:dyDescent="0.25">
      <c r="A55" s="24" t="s">
        <v>158</v>
      </c>
      <c r="B55" s="25">
        <f>B49-B52</f>
        <v>2007549.46</v>
      </c>
      <c r="C55" s="25">
        <f>C49-C52</f>
        <v>2055566.3400000003</v>
      </c>
      <c r="D55" s="26">
        <f t="shared" si="9"/>
        <v>2031557.9000000001</v>
      </c>
      <c r="E55" s="64"/>
      <c r="F55" s="71" t="s">
        <v>172</v>
      </c>
    </row>
  </sheetData>
  <sheetProtection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F54" sqref="F54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5" t="str">
        <f>'Balance Sheet'!B1:D1</f>
        <v>Joe and Jean Farmer</v>
      </c>
      <c r="C1" s="145"/>
      <c r="D1" s="145"/>
      <c r="E1" s="145"/>
      <c r="F1" s="58">
        <f>'Balance Sheet'!F1</f>
        <v>2017</v>
      </c>
      <c r="G1" s="143" t="s">
        <v>28</v>
      </c>
      <c r="H1" s="143"/>
      <c r="I1" s="143"/>
      <c r="J1" s="143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180</v>
      </c>
      <c r="B4" s="37">
        <v>503518</v>
      </c>
      <c r="C4" s="38"/>
      <c r="G4" s="29" t="s">
        <v>25</v>
      </c>
      <c r="H4" s="32">
        <f>IF('Balance Sheet'!B34=0, "",'Balance Sheet'!B13/'Balance Sheet'!B34)</f>
        <v>0.84067565088052842</v>
      </c>
      <c r="I4" s="32">
        <f>IF('Balance Sheet'!C34=0, "",'Balance Sheet'!C13/'Balance Sheet'!C34)</f>
        <v>0.78344256095124154</v>
      </c>
      <c r="J4" s="32">
        <f>IF('Balance Sheet'!D34=0, "",'Balance Sheet'!D13/'Balance Sheet'!D34)</f>
        <v>0.81150388437969512</v>
      </c>
      <c r="K4" s="28" t="s">
        <v>80</v>
      </c>
      <c r="L4" s="28"/>
    </row>
    <row r="5" spans="1:12" ht="15.75" thickBot="1" x14ac:dyDescent="0.3">
      <c r="A5" t="s">
        <v>181</v>
      </c>
      <c r="B5" s="120">
        <f>'Balance Sheet'!C9+'Balance Sheet'!C8</f>
        <v>83250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-57666.969999999972</v>
      </c>
      <c r="J5" s="31">
        <f>'Balance Sheet'!D13-'Balance Sheet'!D34</f>
        <v>-49239.19</v>
      </c>
      <c r="K5" s="28" t="s">
        <v>84</v>
      </c>
      <c r="L5" s="28"/>
    </row>
    <row r="6" spans="1:12" ht="15.75" thickBot="1" x14ac:dyDescent="0.3">
      <c r="A6" t="s">
        <v>182</v>
      </c>
      <c r="B6" s="120">
        <f>'Balance Sheet'!B9+'Balance Sheet'!B8</f>
        <v>96412.5</v>
      </c>
      <c r="C6" s="38"/>
      <c r="G6" s="29" t="s">
        <v>71</v>
      </c>
      <c r="H6" s="33">
        <f>H5/$C$20</f>
        <v>-5.9463107920427978E-2</v>
      </c>
      <c r="I6" s="33">
        <f t="shared" ref="I6:J6" si="0">I5/$C$20</f>
        <v>-8.4022023756446559E-2</v>
      </c>
      <c r="J6" s="33">
        <f t="shared" si="0"/>
        <v>-7.1742565838437286E-2</v>
      </c>
      <c r="K6" s="28" t="s">
        <v>179</v>
      </c>
      <c r="L6" s="28"/>
    </row>
    <row r="7" spans="1:12" ht="15.75" thickBot="1" x14ac:dyDescent="0.3">
      <c r="A7" t="s">
        <v>183</v>
      </c>
      <c r="B7" s="37">
        <v>0</v>
      </c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>
        <f>IF('Balance Sheet'!C23=0,"",'Balance Sheet'!C42/'Balance Sheet'!C23)</f>
        <v>0.29865802142640285</v>
      </c>
      <c r="J7" s="33">
        <f>IF('Balance Sheet'!D23=0,"",'Balance Sheet'!D42/'Balance Sheet'!D23)</f>
        <v>0.30852764517031317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490355.5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>
        <f>IF('Balance Sheet'!C23=0,"",'Balance Sheet'!C44/'Balance Sheet'!C23)</f>
        <v>0.70134197857359715</v>
      </c>
      <c r="J8" s="33">
        <f>IF('Balance Sheet'!D23=0,"",'Balance Sheet'!D44/'Balance Sheet'!D23)</f>
        <v>0.69147235482968683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>
        <f>IF('Balance Sheet'!C44=0,"",'Balance Sheet'!C42/'Balance Sheet'!C44)</f>
        <v>0.42583793719836832</v>
      </c>
      <c r="J9" s="33">
        <f>IF('Balance Sheet'!D44=0,"",'Balance Sheet'!D42/'Balance Sheet'!D44)</f>
        <v>0.44618941453748373</v>
      </c>
      <c r="K9" s="28" t="s">
        <v>83</v>
      </c>
      <c r="L9" s="28"/>
    </row>
    <row r="10" spans="1:12" ht="15.75" thickBot="1" x14ac:dyDescent="0.3">
      <c r="A10" t="s">
        <v>184</v>
      </c>
      <c r="B10" s="37">
        <f>112128.3+28916.8</f>
        <v>141045.1</v>
      </c>
      <c r="C10" s="38"/>
      <c r="G10" s="35"/>
    </row>
    <row r="11" spans="1:12" ht="15.75" thickBot="1" x14ac:dyDescent="0.3">
      <c r="A11" t="s">
        <v>185</v>
      </c>
      <c r="B11" s="120">
        <f>'Balance Sheet'!C10+'Balance Sheet'!C15</f>
        <v>332950</v>
      </c>
      <c r="C11" s="38"/>
      <c r="G11" s="34" t="s">
        <v>62</v>
      </c>
      <c r="H11" s="146">
        <f>(C55+B50-B57)/'Balance Sheet'!D23</f>
        <v>2.7361392224232225E-2</v>
      </c>
      <c r="I11" s="146"/>
      <c r="J11" t="s">
        <v>194</v>
      </c>
    </row>
    <row r="12" spans="1:12" ht="15.75" thickBot="1" x14ac:dyDescent="0.3">
      <c r="A12" t="s">
        <v>186</v>
      </c>
      <c r="B12" s="120">
        <f>'Balance Sheet'!B10+'Balance Sheet'!B15</f>
        <v>332900</v>
      </c>
      <c r="C12" s="38"/>
      <c r="G12" s="43" t="s">
        <v>63</v>
      </c>
      <c r="H12" s="146">
        <f>(C55-B57)/'Balance Sheet'!D44</f>
        <v>1.9019807409870013E-2</v>
      </c>
      <c r="I12" s="146"/>
      <c r="J12" t="s">
        <v>195</v>
      </c>
    </row>
    <row r="13" spans="1:12" ht="15.75" thickBot="1" x14ac:dyDescent="0.3">
      <c r="A13" t="s">
        <v>187</v>
      </c>
      <c r="B13" s="37">
        <v>5000</v>
      </c>
      <c r="G13" s="43" t="s">
        <v>64</v>
      </c>
      <c r="H13" s="146">
        <f>(C55+B50-B57)/C25</f>
        <v>0.12093030357641968</v>
      </c>
      <c r="I13" s="146"/>
      <c r="J13" t="s">
        <v>196</v>
      </c>
    </row>
    <row r="14" spans="1:12" ht="15.75" thickBot="1" x14ac:dyDescent="0.3">
      <c r="A14" t="s">
        <v>58</v>
      </c>
      <c r="B14" s="39">
        <f>B10+B11-B12-B13</f>
        <v>136095.09999999998</v>
      </c>
      <c r="G14" s="43" t="s">
        <v>66</v>
      </c>
      <c r="H14" s="146">
        <f>C25/'Balance Sheet'!D23</f>
        <v>0.22625753359613204</v>
      </c>
      <c r="I14" s="146"/>
      <c r="J14" t="s">
        <v>198</v>
      </c>
    </row>
    <row r="15" spans="1:12" x14ac:dyDescent="0.25">
      <c r="B15" s="38"/>
      <c r="C15" s="38"/>
      <c r="G15" s="43" t="s">
        <v>67</v>
      </c>
      <c r="H15" s="146">
        <f>C46/C20</f>
        <v>0.72476598775285883</v>
      </c>
      <c r="I15" s="146"/>
      <c r="J15" t="s">
        <v>197</v>
      </c>
    </row>
    <row r="16" spans="1:12" ht="15.75" thickBot="1" x14ac:dyDescent="0.3">
      <c r="A16" t="s">
        <v>59</v>
      </c>
      <c r="B16" s="37">
        <v>46336</v>
      </c>
      <c r="G16" s="43" t="s">
        <v>68</v>
      </c>
      <c r="H16" s="146">
        <f>B51/C20</f>
        <v>7.0685292648626413E-2</v>
      </c>
      <c r="I16" s="146"/>
      <c r="J16" t="s">
        <v>199</v>
      </c>
    </row>
    <row r="17" spans="1:10" ht="15.75" thickBot="1" x14ac:dyDescent="0.3">
      <c r="A17" t="s">
        <v>175</v>
      </c>
      <c r="B17" s="121">
        <f>'Balance Sheet'!C6-'Balance Sheet'!B6</f>
        <v>345</v>
      </c>
      <c r="G17" s="43" t="s">
        <v>69</v>
      </c>
      <c r="H17" s="146">
        <f>B50/C20</f>
        <v>6.0828337206096886E-2</v>
      </c>
      <c r="I17" s="146"/>
      <c r="J17" t="s">
        <v>200</v>
      </c>
    </row>
    <row r="18" spans="1:10" ht="15.75" thickBot="1" x14ac:dyDescent="0.3">
      <c r="A18" t="s">
        <v>60</v>
      </c>
      <c r="B18" s="37">
        <f>3300+9900</f>
        <v>13200</v>
      </c>
      <c r="G18" s="43" t="s">
        <v>146</v>
      </c>
      <c r="H18" s="147">
        <f>C53/C20</f>
        <v>0.8562796176075822</v>
      </c>
      <c r="I18" s="148"/>
      <c r="J18" s="59" t="s">
        <v>201</v>
      </c>
    </row>
    <row r="19" spans="1:10" x14ac:dyDescent="0.25">
      <c r="B19" s="38"/>
      <c r="C19" s="38"/>
      <c r="G19" s="43" t="s">
        <v>70</v>
      </c>
      <c r="H19" s="146">
        <f>C55/C20</f>
        <v>0.14372038239241786</v>
      </c>
      <c r="I19" s="146"/>
      <c r="J19" s="41" t="s">
        <v>202</v>
      </c>
    </row>
    <row r="20" spans="1:10" ht="15.75" thickBot="1" x14ac:dyDescent="0.3">
      <c r="A20" t="s">
        <v>177</v>
      </c>
      <c r="B20" s="38"/>
      <c r="C20" s="39">
        <f>B8+B14+SUM(B16:B18)</f>
        <v>686331.6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61</v>
      </c>
      <c r="B22" s="38"/>
      <c r="C22" s="38"/>
      <c r="H22" s="41"/>
    </row>
    <row r="23" spans="1:10" ht="15.75" thickBot="1" x14ac:dyDescent="0.3">
      <c r="A23" s="44" t="s">
        <v>176</v>
      </c>
      <c r="B23" s="37">
        <v>21583</v>
      </c>
    </row>
    <row r="24" spans="1:10" s="62" customFormat="1" x14ac:dyDescent="0.25">
      <c r="A24" s="44"/>
      <c r="B24" s="73"/>
    </row>
    <row r="25" spans="1:10" s="62" customFormat="1" ht="15.75" thickBot="1" x14ac:dyDescent="0.3">
      <c r="A25" s="44" t="s">
        <v>178</v>
      </c>
      <c r="B25" s="73"/>
      <c r="C25" s="72">
        <f>C20-B23</f>
        <v>664748.6</v>
      </c>
    </row>
    <row r="26" spans="1:10" s="62" customFormat="1" x14ac:dyDescent="0.25">
      <c r="A26" s="44"/>
      <c r="B26" s="73"/>
    </row>
    <row r="27" spans="1:10" ht="15.75" thickBot="1" x14ac:dyDescent="0.3">
      <c r="A27" t="s">
        <v>72</v>
      </c>
      <c r="B27" s="37">
        <v>40907</v>
      </c>
    </row>
    <row r="28" spans="1:10" ht="15.75" thickBot="1" x14ac:dyDescent="0.3">
      <c r="A28" t="s">
        <v>73</v>
      </c>
      <c r="B28" s="37">
        <v>57129</v>
      </c>
    </row>
    <row r="29" spans="1:10" ht="15.75" thickBot="1" x14ac:dyDescent="0.3">
      <c r="A29" t="s">
        <v>74</v>
      </c>
      <c r="B29" s="37">
        <v>67074</v>
      </c>
    </row>
    <row r="30" spans="1:10" ht="15.75" thickBot="1" x14ac:dyDescent="0.3">
      <c r="A30" t="s">
        <v>75</v>
      </c>
      <c r="B30" s="37">
        <v>90685</v>
      </c>
    </row>
    <row r="31" spans="1:10" ht="15.75" thickBot="1" x14ac:dyDescent="0.3">
      <c r="A31" t="s">
        <v>76</v>
      </c>
      <c r="B31" s="37">
        <v>69358</v>
      </c>
    </row>
    <row r="32" spans="1:10" ht="15.75" thickBot="1" x14ac:dyDescent="0.3">
      <c r="A32" t="s">
        <v>77</v>
      </c>
      <c r="B32" s="37">
        <v>6760</v>
      </c>
    </row>
    <row r="33" spans="1:7" ht="15.75" thickBot="1" x14ac:dyDescent="0.3">
      <c r="A33" t="s">
        <v>78</v>
      </c>
      <c r="B33" s="37">
        <v>2540</v>
      </c>
    </row>
    <row r="34" spans="1:7" ht="15.75" thickBot="1" x14ac:dyDescent="0.3">
      <c r="A34" t="s">
        <v>79</v>
      </c>
      <c r="B34" s="37">
        <v>14545</v>
      </c>
    </row>
    <row r="35" spans="1:7" ht="15.75" thickBot="1" x14ac:dyDescent="0.3">
      <c r="A35" t="s">
        <v>227</v>
      </c>
      <c r="B35" s="37">
        <v>25709</v>
      </c>
    </row>
    <row r="36" spans="1:7" s="62" customFormat="1" ht="15.75" thickBot="1" x14ac:dyDescent="0.3">
      <c r="A36" s="62" t="s">
        <v>211</v>
      </c>
      <c r="B36" s="37">
        <v>3470</v>
      </c>
      <c r="G36" s="35"/>
    </row>
    <row r="37" spans="1:7" ht="15.75" thickBot="1" x14ac:dyDescent="0.3">
      <c r="A37" t="s">
        <v>212</v>
      </c>
      <c r="B37" s="37">
        <v>1420</v>
      </c>
    </row>
    <row r="38" spans="1:7" ht="15.75" thickBot="1" x14ac:dyDescent="0.3">
      <c r="A38" t="s">
        <v>213</v>
      </c>
      <c r="B38" s="37">
        <v>4880</v>
      </c>
    </row>
    <row r="39" spans="1:7" ht="15.75" thickBot="1" x14ac:dyDescent="0.3">
      <c r="A39" t="s">
        <v>214</v>
      </c>
      <c r="B39" s="37">
        <v>5470</v>
      </c>
    </row>
    <row r="40" spans="1:7" ht="15.75" thickBot="1" x14ac:dyDescent="0.3">
      <c r="A40" t="s">
        <v>215</v>
      </c>
      <c r="B40" s="37">
        <v>15564.8</v>
      </c>
    </row>
    <row r="41" spans="1:7" ht="15.75" thickBot="1" x14ac:dyDescent="0.3">
      <c r="A41" t="s">
        <v>216</v>
      </c>
      <c r="B41" s="37">
        <v>46240</v>
      </c>
      <c r="E41" s="62"/>
      <c r="F41" s="62"/>
      <c r="G41" s="62"/>
    </row>
    <row r="42" spans="1:7" ht="15.75" thickBot="1" x14ac:dyDescent="0.3">
      <c r="A42" t="s">
        <v>217</v>
      </c>
      <c r="B42" s="37">
        <f>370+6120+4660</f>
        <v>11150</v>
      </c>
    </row>
    <row r="43" spans="1:7" x14ac:dyDescent="0.25">
      <c r="B43" s="38"/>
      <c r="C43" s="38"/>
    </row>
    <row r="44" spans="1:7" ht="15.75" thickBot="1" x14ac:dyDescent="0.3">
      <c r="A44" t="s">
        <v>218</v>
      </c>
      <c r="B44" s="120">
        <f>'Balance Sheet'!C7-'Balance Sheet'!B7+'Balance Sheet'!C27-'Balance Sheet'!B27</f>
        <v>12945</v>
      </c>
    </row>
    <row r="45" spans="1:7" s="62" customFormat="1" x14ac:dyDescent="0.25">
      <c r="B45" s="73"/>
    </row>
    <row r="46" spans="1:7" ht="15.75" thickBot="1" x14ac:dyDescent="0.3">
      <c r="A46" s="62" t="s">
        <v>219</v>
      </c>
      <c r="B46" s="38"/>
      <c r="C46" s="74">
        <f>B23+SUM(B27:B44)</f>
        <v>497429.8</v>
      </c>
      <c r="E46" s="35"/>
    </row>
    <row r="47" spans="1:7" s="62" customFormat="1" x14ac:dyDescent="0.25">
      <c r="B47" s="38"/>
      <c r="C47" s="73"/>
      <c r="E47" s="35"/>
    </row>
    <row r="48" spans="1:7" ht="15.75" thickBot="1" x14ac:dyDescent="0.3">
      <c r="A48" t="s">
        <v>220</v>
      </c>
      <c r="B48" s="37">
        <v>44565.41</v>
      </c>
      <c r="C48" s="6"/>
      <c r="F48" s="42"/>
    </row>
    <row r="49" spans="1:6" s="62" customFormat="1" ht="15.75" thickBot="1" x14ac:dyDescent="0.3">
      <c r="A49" s="62" t="s">
        <v>221</v>
      </c>
      <c r="B49" s="120">
        <f>'Balance Sheet'!C32-'Balance Sheet'!B32</f>
        <v>-2817</v>
      </c>
      <c r="F49" s="42"/>
    </row>
    <row r="50" spans="1:6" s="62" customFormat="1" ht="15.75" thickBot="1" x14ac:dyDescent="0.3">
      <c r="A50" s="62" t="s">
        <v>222</v>
      </c>
      <c r="B50" s="74">
        <f>B48+B49</f>
        <v>41748.410000000003</v>
      </c>
      <c r="F50" s="42"/>
    </row>
    <row r="51" spans="1:6" ht="15.75" thickBot="1" x14ac:dyDescent="0.3">
      <c r="A51" t="s">
        <v>223</v>
      </c>
      <c r="B51" s="40">
        <f>('Balance Sheet'!B16*0.1)+('Balance Sheet'!B17*0.05)</f>
        <v>48513.55</v>
      </c>
    </row>
    <row r="52" spans="1:6" x14ac:dyDescent="0.25">
      <c r="B52" s="38"/>
      <c r="C52" s="38"/>
    </row>
    <row r="53" spans="1:6" ht="15.75" thickBot="1" x14ac:dyDescent="0.3">
      <c r="A53" t="s">
        <v>224</v>
      </c>
      <c r="B53" s="38"/>
      <c r="C53" s="39">
        <f>C46+B50+B51</f>
        <v>587691.76</v>
      </c>
    </row>
    <row r="54" spans="1:6" x14ac:dyDescent="0.25">
      <c r="B54" s="38"/>
      <c r="C54" s="38"/>
    </row>
    <row r="55" spans="1:6" ht="15.75" thickBot="1" x14ac:dyDescent="0.3">
      <c r="A55" t="s">
        <v>225</v>
      </c>
      <c r="B55" s="38"/>
      <c r="C55" s="39">
        <f>C20-C53</f>
        <v>98639.839999999967</v>
      </c>
    </row>
    <row r="56" spans="1:6" x14ac:dyDescent="0.25">
      <c r="B56" s="38"/>
      <c r="C56" s="38"/>
    </row>
    <row r="57" spans="1:6" ht="15.75" thickBot="1" x14ac:dyDescent="0.3">
      <c r="A57" t="s">
        <v>226</v>
      </c>
      <c r="B57" s="119">
        <v>60000</v>
      </c>
    </row>
  </sheetData>
  <sheetProtection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R15" sqref="R15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7" t="s">
        <v>145</v>
      </c>
      <c r="B1" s="57"/>
      <c r="C1" s="57"/>
      <c r="D1" s="57"/>
      <c r="E1" s="57"/>
      <c r="F1" s="149" t="str">
        <f>'Income Statement'!B1</f>
        <v>Joe and Jean Farmer</v>
      </c>
      <c r="G1" s="149"/>
      <c r="H1" s="149"/>
      <c r="I1" s="149"/>
      <c r="J1" s="57">
        <v>2018</v>
      </c>
      <c r="K1" s="57"/>
      <c r="L1" s="57"/>
      <c r="M1" s="57"/>
      <c r="N1" s="57"/>
      <c r="O1" s="57"/>
      <c r="P1" s="57"/>
      <c r="Q1" s="45"/>
    </row>
    <row r="2" spans="1:20" s="42" customFormat="1" ht="30" x14ac:dyDescent="0.25">
      <c r="A2" s="156" t="s">
        <v>85</v>
      </c>
      <c r="B2" s="156"/>
      <c r="C2" s="156"/>
      <c r="D2" s="46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56" t="s">
        <v>99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20" x14ac:dyDescent="0.25">
      <c r="A4" s="156" t="s">
        <v>100</v>
      </c>
      <c r="B4" s="156"/>
      <c r="C4" s="47">
        <v>1</v>
      </c>
      <c r="D4" s="122">
        <f>SUM(E4:P4)</f>
        <v>188500</v>
      </c>
      <c r="E4" s="49">
        <f>35*1100</f>
        <v>38500</v>
      </c>
      <c r="F4" s="49"/>
      <c r="G4" s="49"/>
      <c r="H4" s="49"/>
      <c r="I4" s="49"/>
      <c r="J4" s="49"/>
      <c r="K4" s="49"/>
      <c r="L4" s="49"/>
      <c r="M4" s="49"/>
      <c r="N4" s="49">
        <f>160*550*1.5</f>
        <v>132000</v>
      </c>
      <c r="O4" s="49">
        <f>25*1200*0.6</f>
        <v>18000</v>
      </c>
      <c r="P4" s="49"/>
    </row>
    <row r="5" spans="1:20" x14ac:dyDescent="0.25">
      <c r="A5" s="155" t="s">
        <v>125</v>
      </c>
      <c r="B5" s="155"/>
      <c r="C5" s="47">
        <v>2</v>
      </c>
      <c r="D5" s="122">
        <f t="shared" ref="D5:D6" si="0">SUM(E5:P5)</f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0" x14ac:dyDescent="0.25">
      <c r="A6" s="155" t="s">
        <v>125</v>
      </c>
      <c r="B6" s="155"/>
      <c r="C6" s="47">
        <v>3</v>
      </c>
      <c r="D6" s="122">
        <f t="shared" si="0"/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0" x14ac:dyDescent="0.25">
      <c r="A7" s="156" t="s">
        <v>101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20" x14ac:dyDescent="0.25">
      <c r="A8" s="156" t="s">
        <v>126</v>
      </c>
      <c r="B8" s="156"/>
      <c r="C8" s="50">
        <v>4</v>
      </c>
      <c r="D8" s="122">
        <f>SUM(E8:P8)</f>
        <v>36000</v>
      </c>
      <c r="E8" s="49"/>
      <c r="F8" s="49"/>
      <c r="G8" s="49"/>
      <c r="H8" s="49"/>
      <c r="I8" s="49"/>
      <c r="J8" s="49"/>
      <c r="K8" s="49">
        <f>200*45*4</f>
        <v>36000</v>
      </c>
      <c r="L8" s="49"/>
      <c r="M8" s="49"/>
      <c r="N8" s="49"/>
      <c r="O8" s="49"/>
      <c r="P8" s="49"/>
    </row>
    <row r="9" spans="1:20" x14ac:dyDescent="0.25">
      <c r="A9" s="151" t="s">
        <v>127</v>
      </c>
      <c r="B9" s="152"/>
      <c r="C9" s="50">
        <v>5</v>
      </c>
      <c r="D9" s="122">
        <f>SUM(E9:P9)</f>
        <v>95256</v>
      </c>
      <c r="E9" s="49">
        <f>10000*3.15</f>
        <v>31500</v>
      </c>
      <c r="F9" s="49"/>
      <c r="G9" s="49"/>
      <c r="H9" s="49"/>
      <c r="I9" s="49"/>
      <c r="J9" s="49"/>
      <c r="K9" s="49"/>
      <c r="L9" s="49"/>
      <c r="M9" s="49"/>
      <c r="N9" s="49">
        <f>0.5*((200*132*3.15)+(160*132*3.15*(2/3)))</f>
        <v>63756</v>
      </c>
      <c r="O9" s="49"/>
      <c r="P9" s="49"/>
    </row>
    <row r="10" spans="1:20" x14ac:dyDescent="0.25">
      <c r="A10" s="151" t="s">
        <v>128</v>
      </c>
      <c r="B10" s="152"/>
      <c r="C10" s="50">
        <v>6</v>
      </c>
      <c r="D10" s="122">
        <f>SUM(E10:P10)</f>
        <v>73718</v>
      </c>
      <c r="E10" s="49"/>
      <c r="F10" s="49"/>
      <c r="G10" s="49"/>
      <c r="H10" s="49"/>
      <c r="I10" s="49"/>
      <c r="J10" s="49"/>
      <c r="K10" s="49"/>
      <c r="L10" s="49"/>
      <c r="M10" s="49"/>
      <c r="N10" s="49">
        <f>(180*93*2.9)+(140*93*2.9*(2/3))</f>
        <v>73718</v>
      </c>
      <c r="O10" s="49"/>
      <c r="P10" s="49"/>
      <c r="R10" s="35"/>
    </row>
    <row r="11" spans="1:20" x14ac:dyDescent="0.25">
      <c r="A11" s="156" t="s">
        <v>102</v>
      </c>
      <c r="B11" s="156"/>
      <c r="C11" s="50">
        <v>7</v>
      </c>
      <c r="D11" s="122">
        <f t="shared" ref="D11:D12" si="1">SUM(E11:P11)</f>
        <v>222246.39999999999</v>
      </c>
      <c r="E11" s="49"/>
      <c r="F11" s="49"/>
      <c r="G11" s="49"/>
      <c r="H11" s="49"/>
      <c r="I11" s="49"/>
      <c r="J11" s="49"/>
      <c r="K11" s="49"/>
      <c r="L11" s="49"/>
      <c r="M11" s="49"/>
      <c r="N11" s="49">
        <f>0.5*((300*48*9.7)+(266*48*9.7*(2/3)))</f>
        <v>111123.2</v>
      </c>
      <c r="O11" s="49"/>
      <c r="P11" s="49">
        <f>0.5*((300*48*9.7)+(266*48*9.7*(2/3)))</f>
        <v>111123.2</v>
      </c>
    </row>
    <row r="12" spans="1:20" x14ac:dyDescent="0.25">
      <c r="A12" s="156" t="s">
        <v>103</v>
      </c>
      <c r="B12" s="156"/>
      <c r="C12" s="50">
        <v>8</v>
      </c>
      <c r="D12" s="122">
        <f t="shared" si="1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S12" s="35"/>
    </row>
    <row r="13" spans="1:20" x14ac:dyDescent="0.25">
      <c r="A13" s="153" t="s">
        <v>125</v>
      </c>
      <c r="B13" s="154"/>
      <c r="C13" s="50">
        <v>9</v>
      </c>
      <c r="D13" s="122">
        <f t="shared" ref="D13" si="2">SUM(E13:P13)</f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T13" s="35"/>
    </row>
    <row r="14" spans="1:20" x14ac:dyDescent="0.25">
      <c r="A14" s="156" t="s">
        <v>104</v>
      </c>
      <c r="B14" s="156"/>
      <c r="C14" s="50">
        <v>10</v>
      </c>
      <c r="D14" s="122">
        <f t="shared" ref="D14:D18" si="3">SUM(E14:P14)</f>
        <v>46336</v>
      </c>
      <c r="E14" s="49"/>
      <c r="F14" s="49"/>
      <c r="G14" s="49"/>
      <c r="H14" s="49"/>
      <c r="I14" s="49"/>
      <c r="J14" s="49"/>
      <c r="K14" s="49"/>
      <c r="L14" s="49"/>
      <c r="M14" s="49"/>
      <c r="N14" s="49">
        <v>46336</v>
      </c>
      <c r="O14" s="49"/>
      <c r="P14" s="49"/>
    </row>
    <row r="15" spans="1:20" x14ac:dyDescent="0.25">
      <c r="A15" s="156" t="s">
        <v>105</v>
      </c>
      <c r="B15" s="156"/>
      <c r="C15" s="50">
        <v>11</v>
      </c>
      <c r="D15" s="122">
        <f t="shared" si="3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0" x14ac:dyDescent="0.25">
      <c r="A16" s="156" t="s">
        <v>106</v>
      </c>
      <c r="B16" s="156"/>
      <c r="C16" s="50">
        <v>12</v>
      </c>
      <c r="D16" s="122">
        <f t="shared" si="3"/>
        <v>990</v>
      </c>
      <c r="E16" s="49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>
        <v>990</v>
      </c>
    </row>
    <row r="17" spans="1:18" x14ac:dyDescent="0.25">
      <c r="A17" s="156" t="s">
        <v>107</v>
      </c>
      <c r="B17" s="156"/>
      <c r="C17" s="50">
        <v>13</v>
      </c>
      <c r="D17" s="122">
        <f t="shared" si="3"/>
        <v>5500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>
        <v>5500</v>
      </c>
    </row>
    <row r="18" spans="1:18" x14ac:dyDescent="0.25">
      <c r="A18" s="156" t="s">
        <v>108</v>
      </c>
      <c r="B18" s="156"/>
      <c r="C18" s="50">
        <v>14</v>
      </c>
      <c r="D18" s="122">
        <f t="shared" si="3"/>
        <v>28089</v>
      </c>
      <c r="E18" s="49">
        <f>28089/12</f>
        <v>2340.75</v>
      </c>
      <c r="F18" s="49">
        <f t="shared" ref="F18:P18" si="4">28089/12</f>
        <v>2340.75</v>
      </c>
      <c r="G18" s="49">
        <f t="shared" si="4"/>
        <v>2340.75</v>
      </c>
      <c r="H18" s="49">
        <f t="shared" si="4"/>
        <v>2340.75</v>
      </c>
      <c r="I18" s="49">
        <f t="shared" si="4"/>
        <v>2340.75</v>
      </c>
      <c r="J18" s="49">
        <f t="shared" si="4"/>
        <v>2340.75</v>
      </c>
      <c r="K18" s="49">
        <f t="shared" si="4"/>
        <v>2340.75</v>
      </c>
      <c r="L18" s="49">
        <f t="shared" si="4"/>
        <v>2340.75</v>
      </c>
      <c r="M18" s="49">
        <f t="shared" si="4"/>
        <v>2340.75</v>
      </c>
      <c r="N18" s="49">
        <f t="shared" si="4"/>
        <v>2340.75</v>
      </c>
      <c r="O18" s="49">
        <f t="shared" si="4"/>
        <v>2340.75</v>
      </c>
      <c r="P18" s="49">
        <f t="shared" si="4"/>
        <v>2340.75</v>
      </c>
    </row>
    <row r="19" spans="1:18" x14ac:dyDescent="0.25">
      <c r="A19" s="156" t="s">
        <v>207</v>
      </c>
      <c r="B19" s="156"/>
      <c r="C19" s="50">
        <v>15</v>
      </c>
      <c r="D19" s="48">
        <f>SUM(D4:D6,D8:D18)</f>
        <v>696635.4</v>
      </c>
      <c r="E19" s="48">
        <f t="shared" ref="E19:P19" si="5">SUM(E4:E6,E8:E18)</f>
        <v>72340.75</v>
      </c>
      <c r="F19" s="48">
        <f t="shared" si="5"/>
        <v>2340.75</v>
      </c>
      <c r="G19" s="48">
        <f t="shared" si="5"/>
        <v>2340.75</v>
      </c>
      <c r="H19" s="48">
        <f t="shared" si="5"/>
        <v>2340.75</v>
      </c>
      <c r="I19" s="48">
        <f t="shared" si="5"/>
        <v>2340.75</v>
      </c>
      <c r="J19" s="48">
        <f t="shared" si="5"/>
        <v>2340.75</v>
      </c>
      <c r="K19" s="48">
        <f t="shared" si="5"/>
        <v>38340.75</v>
      </c>
      <c r="L19" s="48">
        <f t="shared" si="5"/>
        <v>2340.75</v>
      </c>
      <c r="M19" s="48">
        <f t="shared" si="5"/>
        <v>2340.75</v>
      </c>
      <c r="N19" s="48">
        <f t="shared" si="5"/>
        <v>429273.95</v>
      </c>
      <c r="O19" s="48">
        <f t="shared" si="5"/>
        <v>20340.75</v>
      </c>
      <c r="P19" s="48">
        <f t="shared" si="5"/>
        <v>119953.95</v>
      </c>
    </row>
    <row r="20" spans="1:18" ht="15.75" thickBot="1" x14ac:dyDescent="0.3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</row>
    <row r="21" spans="1:18" x14ac:dyDescent="0.25">
      <c r="A21" s="158" t="s">
        <v>109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8" x14ac:dyDescent="0.25">
      <c r="A22" s="156" t="s">
        <v>110</v>
      </c>
      <c r="B22" s="156"/>
      <c r="C22" s="50">
        <v>16</v>
      </c>
      <c r="D22" s="122">
        <f>SUM(E22:P22)</f>
        <v>22200</v>
      </c>
      <c r="E22" s="49">
        <v>3200</v>
      </c>
      <c r="F22" s="49">
        <v>3200</v>
      </c>
      <c r="G22" s="49">
        <v>3200</v>
      </c>
      <c r="H22" s="49">
        <v>3200</v>
      </c>
      <c r="I22" s="49">
        <v>500</v>
      </c>
      <c r="J22" s="49">
        <v>500</v>
      </c>
      <c r="K22" s="49">
        <v>500</v>
      </c>
      <c r="L22" s="49">
        <v>500</v>
      </c>
      <c r="M22" s="49">
        <v>500</v>
      </c>
      <c r="N22" s="49">
        <v>500</v>
      </c>
      <c r="O22" s="49">
        <v>3200</v>
      </c>
      <c r="P22" s="49">
        <v>3200</v>
      </c>
    </row>
    <row r="23" spans="1:18" x14ac:dyDescent="0.25">
      <c r="A23" s="156" t="s">
        <v>111</v>
      </c>
      <c r="B23" s="156"/>
      <c r="C23" s="50">
        <v>17</v>
      </c>
      <c r="D23" s="122">
        <f>SUM(E23:P23)</f>
        <v>42000</v>
      </c>
      <c r="E23" s="49">
        <f>42000/12</f>
        <v>3500</v>
      </c>
      <c r="F23" s="49">
        <f t="shared" ref="F23:P23" si="6">42000/12</f>
        <v>3500</v>
      </c>
      <c r="G23" s="49">
        <f t="shared" si="6"/>
        <v>3500</v>
      </c>
      <c r="H23" s="49">
        <f t="shared" si="6"/>
        <v>3500</v>
      </c>
      <c r="I23" s="49">
        <f t="shared" si="6"/>
        <v>3500</v>
      </c>
      <c r="J23" s="49">
        <f t="shared" si="6"/>
        <v>3500</v>
      </c>
      <c r="K23" s="49">
        <f t="shared" si="6"/>
        <v>3500</v>
      </c>
      <c r="L23" s="49">
        <f t="shared" si="6"/>
        <v>3500</v>
      </c>
      <c r="M23" s="49">
        <f t="shared" si="6"/>
        <v>3500</v>
      </c>
      <c r="N23" s="49">
        <f t="shared" si="6"/>
        <v>3500</v>
      </c>
      <c r="O23" s="49">
        <f t="shared" si="6"/>
        <v>3500</v>
      </c>
      <c r="P23" s="49">
        <f t="shared" si="6"/>
        <v>3500</v>
      </c>
    </row>
    <row r="24" spans="1:18" x14ac:dyDescent="0.25">
      <c r="A24" s="156" t="s">
        <v>112</v>
      </c>
      <c r="B24" s="156"/>
      <c r="C24" s="50">
        <v>18</v>
      </c>
      <c r="D24" s="122">
        <f>SUM(E24:P24)</f>
        <v>58000</v>
      </c>
      <c r="E24" s="49">
        <f>58000*0.2</f>
        <v>11600</v>
      </c>
      <c r="F24" s="49">
        <v>1450</v>
      </c>
      <c r="G24" s="49">
        <f>58000*0.2</f>
        <v>11600</v>
      </c>
      <c r="H24" s="49">
        <v>1450</v>
      </c>
      <c r="I24" s="49">
        <v>1450</v>
      </c>
      <c r="J24" s="49">
        <v>1450</v>
      </c>
      <c r="K24" s="49">
        <v>1450</v>
      </c>
      <c r="L24" s="49">
        <v>1450</v>
      </c>
      <c r="M24" s="49">
        <v>1450</v>
      </c>
      <c r="N24" s="49">
        <f>58000*0.2</f>
        <v>11600</v>
      </c>
      <c r="O24" s="49">
        <f>58000*0.2</f>
        <v>11600</v>
      </c>
      <c r="P24" s="49">
        <v>1450</v>
      </c>
      <c r="Q24" s="76"/>
      <c r="R24" s="76"/>
    </row>
    <row r="25" spans="1:18" x14ac:dyDescent="0.25">
      <c r="A25" s="156" t="s">
        <v>113</v>
      </c>
      <c r="B25" s="156"/>
      <c r="C25" s="50">
        <v>19</v>
      </c>
      <c r="D25" s="122">
        <f>SUM(E25:P25)</f>
        <v>68000</v>
      </c>
      <c r="E25" s="49"/>
      <c r="F25" s="49"/>
      <c r="G25" s="49">
        <v>15000</v>
      </c>
      <c r="H25" s="49"/>
      <c r="I25" s="49"/>
      <c r="J25" s="49"/>
      <c r="K25" s="49"/>
      <c r="L25" s="49"/>
      <c r="M25" s="49">
        <v>13000</v>
      </c>
      <c r="N25" s="49"/>
      <c r="O25" s="49"/>
      <c r="P25" s="49">
        <v>40000</v>
      </c>
      <c r="R25" s="76"/>
    </row>
    <row r="26" spans="1:18" x14ac:dyDescent="0.25">
      <c r="A26" s="156" t="s">
        <v>114</v>
      </c>
      <c r="B26" s="156"/>
      <c r="C26" s="50">
        <v>20</v>
      </c>
      <c r="D26" s="122">
        <f>SUM(E26:P26)</f>
        <v>91000</v>
      </c>
      <c r="E26" s="49"/>
      <c r="F26" s="49">
        <v>6000</v>
      </c>
      <c r="G26" s="49"/>
      <c r="H26" s="49">
        <v>40000</v>
      </c>
      <c r="I26" s="49"/>
      <c r="J26" s="49">
        <v>15000</v>
      </c>
      <c r="K26" s="49"/>
      <c r="L26" s="49"/>
      <c r="M26" s="49">
        <v>10000</v>
      </c>
      <c r="N26" s="49"/>
      <c r="O26" s="49"/>
      <c r="P26" s="51">
        <v>20000</v>
      </c>
    </row>
    <row r="27" spans="1:18" x14ac:dyDescent="0.25">
      <c r="A27" s="156" t="s">
        <v>119</v>
      </c>
      <c r="B27" s="156"/>
      <c r="C27" s="50">
        <v>21</v>
      </c>
      <c r="D27" s="122">
        <f t="shared" ref="D27" si="7">SUM(E27:P27)</f>
        <v>70000</v>
      </c>
      <c r="E27" s="49"/>
      <c r="F27" s="49">
        <v>2000</v>
      </c>
      <c r="G27" s="49">
        <v>15000</v>
      </c>
      <c r="H27" s="49">
        <v>25000</v>
      </c>
      <c r="I27" s="49"/>
      <c r="J27" s="49">
        <v>20000</v>
      </c>
      <c r="K27" s="49"/>
      <c r="L27" s="49"/>
      <c r="M27" s="49"/>
      <c r="N27" s="49"/>
      <c r="O27" s="49"/>
      <c r="P27" s="49">
        <v>8000</v>
      </c>
    </row>
    <row r="28" spans="1:18" x14ac:dyDescent="0.25">
      <c r="A28" s="156" t="s">
        <v>115</v>
      </c>
      <c r="B28" s="156"/>
      <c r="C28" s="50">
        <v>22</v>
      </c>
      <c r="D28" s="122">
        <f t="shared" ref="D28:D45" si="8">SUM(E28:P28)</f>
        <v>6700</v>
      </c>
      <c r="E28" s="49">
        <v>100</v>
      </c>
      <c r="F28" s="49">
        <v>100</v>
      </c>
      <c r="G28" s="49">
        <v>2500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49">
        <v>100</v>
      </c>
      <c r="N28" s="49">
        <v>3200</v>
      </c>
      <c r="O28" s="49">
        <v>100</v>
      </c>
      <c r="P28" s="49">
        <v>100</v>
      </c>
    </row>
    <row r="29" spans="1:18" x14ac:dyDescent="0.25">
      <c r="A29" s="156" t="s">
        <v>131</v>
      </c>
      <c r="B29" s="156"/>
      <c r="C29" s="50">
        <v>23</v>
      </c>
      <c r="D29" s="122">
        <f t="shared" si="8"/>
        <v>2450</v>
      </c>
      <c r="E29" s="49">
        <v>300</v>
      </c>
      <c r="F29" s="49"/>
      <c r="G29" s="49"/>
      <c r="H29" s="49"/>
      <c r="I29" s="49"/>
      <c r="J29" s="49"/>
      <c r="K29" s="49">
        <v>400</v>
      </c>
      <c r="L29" s="49"/>
      <c r="M29" s="49"/>
      <c r="N29" s="49">
        <v>350</v>
      </c>
      <c r="O29" s="49">
        <v>700</v>
      </c>
      <c r="P29" s="49">
        <v>700</v>
      </c>
    </row>
    <row r="30" spans="1:18" x14ac:dyDescent="0.25">
      <c r="A30" s="151" t="s">
        <v>132</v>
      </c>
      <c r="B30" s="152"/>
      <c r="C30" s="50">
        <v>24</v>
      </c>
      <c r="D30" s="122">
        <f t="shared" si="8"/>
        <v>14500</v>
      </c>
      <c r="E30" s="49"/>
      <c r="F30" s="49">
        <v>2000</v>
      </c>
      <c r="G30" s="49">
        <v>3000</v>
      </c>
      <c r="H30" s="49">
        <v>4000</v>
      </c>
      <c r="I30" s="49"/>
      <c r="J30" s="49">
        <v>3000</v>
      </c>
      <c r="K30" s="49"/>
      <c r="L30" s="49"/>
      <c r="M30" s="49">
        <v>2500</v>
      </c>
      <c r="N30" s="49"/>
      <c r="O30" s="49"/>
      <c r="P30" s="49"/>
    </row>
    <row r="31" spans="1:18" x14ac:dyDescent="0.25">
      <c r="A31" s="156" t="s">
        <v>205</v>
      </c>
      <c r="B31" s="156"/>
      <c r="C31" s="50">
        <v>25</v>
      </c>
      <c r="D31" s="122">
        <f>SUM(E31:P31)</f>
        <v>24000</v>
      </c>
      <c r="E31" s="49"/>
      <c r="F31" s="49"/>
      <c r="G31" s="49">
        <v>12000</v>
      </c>
      <c r="H31" s="49"/>
      <c r="I31" s="49"/>
      <c r="J31" s="49"/>
      <c r="K31" s="49"/>
      <c r="L31" s="49"/>
      <c r="M31" s="49">
        <v>12000</v>
      </c>
      <c r="N31" s="49"/>
      <c r="O31" s="49"/>
      <c r="P31" s="49"/>
    </row>
    <row r="32" spans="1:18" s="62" customFormat="1" x14ac:dyDescent="0.25">
      <c r="A32" s="156" t="s">
        <v>206</v>
      </c>
      <c r="B32" s="156"/>
      <c r="C32" s="50">
        <v>26</v>
      </c>
      <c r="D32" s="122">
        <f>SUM(E32:P32)</f>
        <v>3600</v>
      </c>
      <c r="E32" s="49">
        <v>300</v>
      </c>
      <c r="F32" s="49">
        <v>300</v>
      </c>
      <c r="G32" s="49">
        <v>300</v>
      </c>
      <c r="H32" s="49">
        <v>300</v>
      </c>
      <c r="I32" s="49">
        <v>300</v>
      </c>
      <c r="J32" s="49">
        <v>300</v>
      </c>
      <c r="K32" s="49">
        <v>300</v>
      </c>
      <c r="L32" s="49">
        <v>300</v>
      </c>
      <c r="M32" s="49">
        <v>300</v>
      </c>
      <c r="N32" s="49">
        <v>300</v>
      </c>
      <c r="O32" s="49">
        <v>300</v>
      </c>
      <c r="P32" s="49">
        <v>300</v>
      </c>
    </row>
    <row r="33" spans="1:21" x14ac:dyDescent="0.25">
      <c r="A33" s="156" t="s">
        <v>116</v>
      </c>
      <c r="B33" s="156"/>
      <c r="C33" s="50">
        <v>27</v>
      </c>
      <c r="D33" s="122">
        <f t="shared" si="8"/>
        <v>1420</v>
      </c>
      <c r="E33" s="49"/>
      <c r="F33" s="49"/>
      <c r="G33" s="49"/>
      <c r="H33" s="49"/>
      <c r="I33" s="49"/>
      <c r="J33" s="49"/>
      <c r="K33" s="49"/>
      <c r="L33" s="49"/>
      <c r="M33" s="49"/>
      <c r="N33" s="49">
        <v>1420</v>
      </c>
      <c r="O33" s="49"/>
      <c r="P33" s="49"/>
    </row>
    <row r="34" spans="1:21" x14ac:dyDescent="0.25">
      <c r="A34" s="151" t="s">
        <v>133</v>
      </c>
      <c r="B34" s="152"/>
      <c r="C34" s="50">
        <v>28</v>
      </c>
      <c r="D34" s="122">
        <f t="shared" si="8"/>
        <v>5000</v>
      </c>
      <c r="E34" s="49"/>
      <c r="F34" s="49"/>
      <c r="G34" s="49"/>
      <c r="H34" s="49"/>
      <c r="I34" s="49">
        <v>2500</v>
      </c>
      <c r="J34" s="49"/>
      <c r="K34" s="49"/>
      <c r="L34" s="49"/>
      <c r="M34" s="49"/>
      <c r="N34" s="49"/>
      <c r="O34" s="49"/>
      <c r="P34" s="49">
        <v>2500</v>
      </c>
    </row>
    <row r="35" spans="1:21" x14ac:dyDescent="0.25">
      <c r="A35" s="156" t="s">
        <v>117</v>
      </c>
      <c r="B35" s="156"/>
      <c r="C35" s="50">
        <v>29</v>
      </c>
      <c r="D35" s="122">
        <f t="shared" si="8"/>
        <v>5500</v>
      </c>
      <c r="E35" s="49"/>
      <c r="F35" s="49"/>
      <c r="G35" s="49"/>
      <c r="H35" s="49"/>
      <c r="I35" s="49"/>
      <c r="J35" s="49"/>
      <c r="K35" s="49">
        <v>5500</v>
      </c>
      <c r="L35" s="49"/>
      <c r="M35" s="49"/>
      <c r="N35" s="49"/>
      <c r="O35" s="49"/>
      <c r="P35" s="49"/>
    </row>
    <row r="36" spans="1:21" x14ac:dyDescent="0.25">
      <c r="A36" s="151" t="s">
        <v>134</v>
      </c>
      <c r="B36" s="152"/>
      <c r="C36" s="50">
        <v>30</v>
      </c>
      <c r="D36" s="122">
        <f t="shared" si="8"/>
        <v>14184</v>
      </c>
      <c r="E36" s="49"/>
      <c r="F36" s="49"/>
      <c r="G36" s="49"/>
      <c r="H36" s="49"/>
      <c r="I36" s="49"/>
      <c r="J36" s="49">
        <f>200*7</f>
        <v>1400</v>
      </c>
      <c r="K36" s="49"/>
      <c r="L36" s="49"/>
      <c r="M36" s="49">
        <f>(200*12)+(160*8)+(300*14)+(260*9.4)+(180*9)+(140*6)</f>
        <v>12784</v>
      </c>
      <c r="N36" s="49"/>
      <c r="O36" s="49"/>
      <c r="P36" s="49"/>
    </row>
    <row r="37" spans="1:21" x14ac:dyDescent="0.25">
      <c r="A37" s="156" t="s">
        <v>118</v>
      </c>
      <c r="B37" s="156"/>
      <c r="C37" s="50">
        <v>31</v>
      </c>
      <c r="D37" s="122">
        <f t="shared" si="8"/>
        <v>46240</v>
      </c>
      <c r="E37" s="49"/>
      <c r="F37" s="49"/>
      <c r="G37" s="49">
        <f>46240/2</f>
        <v>23120</v>
      </c>
      <c r="H37" s="49"/>
      <c r="I37" s="51" t="s">
        <v>130</v>
      </c>
      <c r="J37" s="49"/>
      <c r="K37" s="49"/>
      <c r="L37" s="49"/>
      <c r="M37" s="49"/>
      <c r="N37" s="49"/>
      <c r="O37" s="49"/>
      <c r="P37" s="49">
        <f>G37</f>
        <v>23120</v>
      </c>
    </row>
    <row r="38" spans="1:21" x14ac:dyDescent="0.25">
      <c r="A38" s="156" t="s">
        <v>120</v>
      </c>
      <c r="B38" s="156"/>
      <c r="C38" s="50">
        <v>32</v>
      </c>
      <c r="D38" s="122">
        <f t="shared" si="8"/>
        <v>11400</v>
      </c>
      <c r="E38" s="49">
        <v>950</v>
      </c>
      <c r="F38" s="49">
        <v>950</v>
      </c>
      <c r="G38" s="49">
        <v>950</v>
      </c>
      <c r="H38" s="49">
        <v>950</v>
      </c>
      <c r="I38" s="49">
        <v>950</v>
      </c>
      <c r="J38" s="49">
        <v>950</v>
      </c>
      <c r="K38" s="49">
        <v>950</v>
      </c>
      <c r="L38" s="49">
        <v>950</v>
      </c>
      <c r="M38" s="49">
        <v>950</v>
      </c>
      <c r="N38" s="49">
        <v>950</v>
      </c>
      <c r="O38" s="49">
        <v>950</v>
      </c>
      <c r="P38" s="49">
        <v>950</v>
      </c>
    </row>
    <row r="39" spans="1:21" ht="15.75" customHeight="1" x14ac:dyDescent="0.25">
      <c r="A39" s="156" t="s">
        <v>121</v>
      </c>
      <c r="B39" s="156"/>
      <c r="C39" s="50">
        <v>33</v>
      </c>
      <c r="D39" s="122">
        <f t="shared" si="8"/>
        <v>44500</v>
      </c>
      <c r="E39" s="49"/>
      <c r="F39" s="49"/>
      <c r="G39" s="49">
        <f>1200+3000</f>
        <v>4200</v>
      </c>
      <c r="H39" s="49">
        <v>4500</v>
      </c>
      <c r="I39" s="49"/>
      <c r="J39" s="49"/>
      <c r="K39" s="49"/>
      <c r="L39" s="49"/>
      <c r="M39" s="49"/>
      <c r="N39" s="49"/>
      <c r="O39" s="49">
        <v>1800</v>
      </c>
      <c r="P39" s="49">
        <f>29500+4500</f>
        <v>34000</v>
      </c>
    </row>
    <row r="40" spans="1:21" x14ac:dyDescent="0.25">
      <c r="A40" s="156" t="s">
        <v>193</v>
      </c>
      <c r="B40" s="156"/>
      <c r="C40" s="50">
        <v>34</v>
      </c>
      <c r="D40" s="122">
        <f t="shared" si="8"/>
        <v>5000</v>
      </c>
      <c r="E40" s="49"/>
      <c r="F40" s="49"/>
      <c r="G40" s="49">
        <v>5000</v>
      </c>
      <c r="H40" s="49"/>
      <c r="I40" s="49"/>
      <c r="J40" s="49"/>
      <c r="K40" s="49"/>
      <c r="L40" s="49"/>
      <c r="M40" s="49"/>
      <c r="N40" s="49"/>
      <c r="O40" s="49"/>
      <c r="P40" s="49"/>
    </row>
    <row r="41" spans="1:21" x14ac:dyDescent="0.25">
      <c r="A41" s="156" t="s">
        <v>122</v>
      </c>
      <c r="B41" s="156"/>
      <c r="C41" s="50">
        <v>35</v>
      </c>
      <c r="D41" s="122">
        <f t="shared" si="8"/>
        <v>12500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>
        <v>12500</v>
      </c>
    </row>
    <row r="42" spans="1:21" x14ac:dyDescent="0.25">
      <c r="A42" s="155" t="s">
        <v>135</v>
      </c>
      <c r="B42" s="155"/>
      <c r="C42" s="50">
        <v>36</v>
      </c>
      <c r="D42" s="122">
        <f t="shared" si="8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21" x14ac:dyDescent="0.25">
      <c r="A43" s="155" t="s">
        <v>135</v>
      </c>
      <c r="B43" s="155"/>
      <c r="C43" s="50">
        <v>37</v>
      </c>
      <c r="D43" s="122">
        <f t="shared" si="8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21" x14ac:dyDescent="0.25">
      <c r="A44" s="156" t="s">
        <v>123</v>
      </c>
      <c r="B44" s="156"/>
      <c r="C44" s="50">
        <v>38</v>
      </c>
      <c r="D44" s="122">
        <f t="shared" si="8"/>
        <v>60000</v>
      </c>
      <c r="E44" s="49">
        <v>5000</v>
      </c>
      <c r="F44" s="49">
        <v>5000</v>
      </c>
      <c r="G44" s="49">
        <v>5000</v>
      </c>
      <c r="H44" s="49">
        <v>5000</v>
      </c>
      <c r="I44" s="49">
        <v>5000</v>
      </c>
      <c r="J44" s="49">
        <v>5000</v>
      </c>
      <c r="K44" s="49">
        <v>5000</v>
      </c>
      <c r="L44" s="49">
        <v>5000</v>
      </c>
      <c r="M44" s="49">
        <v>5000</v>
      </c>
      <c r="N44" s="49">
        <v>5000</v>
      </c>
      <c r="O44" s="49">
        <v>5000</v>
      </c>
      <c r="P44" s="49">
        <v>5000</v>
      </c>
    </row>
    <row r="45" spans="1:21" x14ac:dyDescent="0.25">
      <c r="A45" s="156" t="s">
        <v>124</v>
      </c>
      <c r="B45" s="156"/>
      <c r="C45" s="50">
        <v>39</v>
      </c>
      <c r="D45" s="122">
        <f t="shared" si="8"/>
        <v>12900</v>
      </c>
      <c r="E45" s="49"/>
      <c r="F45" s="49">
        <v>12900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1" x14ac:dyDescent="0.25">
      <c r="A46" s="156" t="s">
        <v>208</v>
      </c>
      <c r="B46" s="156"/>
      <c r="C46" s="50">
        <v>40</v>
      </c>
      <c r="D46" s="48">
        <f t="shared" ref="D46:P46" si="9">SUM(D22:D45)</f>
        <v>621094</v>
      </c>
      <c r="E46" s="48">
        <f t="shared" si="9"/>
        <v>24950</v>
      </c>
      <c r="F46" s="48">
        <f t="shared" si="9"/>
        <v>37400</v>
      </c>
      <c r="G46" s="48">
        <f t="shared" si="9"/>
        <v>104370</v>
      </c>
      <c r="H46" s="48">
        <f t="shared" si="9"/>
        <v>88000</v>
      </c>
      <c r="I46" s="48">
        <f t="shared" si="9"/>
        <v>14300</v>
      </c>
      <c r="J46" s="48">
        <f t="shared" si="9"/>
        <v>51200</v>
      </c>
      <c r="K46" s="48">
        <f t="shared" si="9"/>
        <v>17700</v>
      </c>
      <c r="L46" s="48">
        <f t="shared" si="9"/>
        <v>11800</v>
      </c>
      <c r="M46" s="48">
        <f t="shared" si="9"/>
        <v>62084</v>
      </c>
      <c r="N46" s="48">
        <f t="shared" si="9"/>
        <v>26820</v>
      </c>
      <c r="O46" s="48">
        <f t="shared" si="9"/>
        <v>27150</v>
      </c>
      <c r="P46" s="48">
        <f t="shared" si="9"/>
        <v>155320</v>
      </c>
      <c r="U46" t="s">
        <v>1</v>
      </c>
    </row>
    <row r="47" spans="1:21" ht="15.75" thickBot="1" x14ac:dyDescent="0.3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21" x14ac:dyDescent="0.25">
      <c r="A48" s="158" t="s">
        <v>209</v>
      </c>
      <c r="B48" s="158"/>
      <c r="C48" s="52">
        <v>41</v>
      </c>
      <c r="D48" s="53">
        <f t="shared" ref="D48:P48" si="10">D19-D46</f>
        <v>75541.400000000023</v>
      </c>
      <c r="E48" s="53">
        <f t="shared" si="10"/>
        <v>47390.75</v>
      </c>
      <c r="F48" s="53">
        <f t="shared" si="10"/>
        <v>-35059.25</v>
      </c>
      <c r="G48" s="53">
        <f t="shared" si="10"/>
        <v>-102029.25</v>
      </c>
      <c r="H48" s="53">
        <f t="shared" si="10"/>
        <v>-85659.25</v>
      </c>
      <c r="I48" s="53">
        <f t="shared" si="10"/>
        <v>-11959.25</v>
      </c>
      <c r="J48" s="53">
        <f t="shared" si="10"/>
        <v>-48859.25</v>
      </c>
      <c r="K48" s="53">
        <f t="shared" si="10"/>
        <v>20640.75</v>
      </c>
      <c r="L48" s="53">
        <f t="shared" si="10"/>
        <v>-9459.25</v>
      </c>
      <c r="M48" s="53">
        <f t="shared" si="10"/>
        <v>-59743.25</v>
      </c>
      <c r="N48" s="53">
        <f t="shared" si="10"/>
        <v>402453.95</v>
      </c>
      <c r="O48" s="53">
        <f t="shared" si="10"/>
        <v>-6809.25</v>
      </c>
      <c r="P48" s="53">
        <f t="shared" si="10"/>
        <v>-35366.050000000003</v>
      </c>
    </row>
    <row r="49" spans="1:16" ht="50.25" customHeight="1" x14ac:dyDescent="0.25">
      <c r="A49" s="150" t="s">
        <v>210</v>
      </c>
      <c r="B49" s="150"/>
      <c r="C49" s="50">
        <v>42</v>
      </c>
      <c r="D49" s="49">
        <v>150000</v>
      </c>
      <c r="E49" s="48">
        <f>$D$49-E48</f>
        <v>102609.25</v>
      </c>
      <c r="F49" s="48">
        <f>E49-F48</f>
        <v>137668.5</v>
      </c>
      <c r="G49" s="48">
        <f>F49-G48</f>
        <v>239697.75</v>
      </c>
      <c r="H49" s="48">
        <f t="shared" ref="H49:P49" si="11">G49-H48</f>
        <v>325357</v>
      </c>
      <c r="I49" s="48">
        <f t="shared" si="11"/>
        <v>337316.25</v>
      </c>
      <c r="J49" s="48">
        <f t="shared" si="11"/>
        <v>386175.5</v>
      </c>
      <c r="K49" s="48">
        <f t="shared" si="11"/>
        <v>365534.75</v>
      </c>
      <c r="L49" s="48">
        <f t="shared" si="11"/>
        <v>374994</v>
      </c>
      <c r="M49" s="48">
        <f t="shared" si="11"/>
        <v>434737.25</v>
      </c>
      <c r="N49" s="48">
        <f t="shared" si="11"/>
        <v>32283.299999999988</v>
      </c>
      <c r="O49" s="48">
        <f t="shared" si="11"/>
        <v>39092.549999999988</v>
      </c>
      <c r="P49" s="48">
        <f t="shared" si="11"/>
        <v>74458.599999999991</v>
      </c>
    </row>
  </sheetData>
  <sheetProtection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A6:B6"/>
    <mergeCell ref="A2:C2"/>
    <mergeCell ref="A3:P3"/>
    <mergeCell ref="A4:B4"/>
    <mergeCell ref="A5:B5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2017-12-06T16:39:30Z</dcterms:modified>
</cp:coreProperties>
</file>