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GTonsor\Documents\________EXTENSION________\"/>
    </mc:Choice>
  </mc:AlternateContent>
  <bookViews>
    <workbookView xWindow="0" yWindow="0" windowWidth="20490" windowHeight="6555"/>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62913"/>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<sst xmlns="http://schemas.openxmlformats.org/spreadsheetml/2006/main" count="260" uniqueCount="127">
  <si>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</si>
  <si>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</si>
  <si>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</si>
  <si>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</si>
  <si>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</si>
  <si>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</si>
  <si>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</si>
  <si>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</si>
  <si>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</si>
  <si>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</si>
  <si>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</si>
  <si>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</si>
  <si>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</si>
  <si>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</si>
  <si>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</si>
  <si>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</si>
  <si>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</si>
  <si>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</si>
  <si>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</si>
  <si>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</si>
  <si>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</si>
  <si>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</si>
  <si>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</si>
  <si>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</si>
  <si>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</si>
  <si>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</si>
  <si>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</si>
  <si>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</si>
  <si>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</si>
  <si>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</si>
  <si>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</si>
  <si>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</si>
  <si>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</si>
  <si>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</si>
  <si>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</si>
  <si>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</si>
  <si>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</si>
  <si>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</si>
  <si>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http://www3.rma.usda.gov/apps/livestock_reports/</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</si>
  <si>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</si>
  <si>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</si>
  <si>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</si>
  <si>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</si>
  <si>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</si>
  <si>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</si>
  <si>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</si>
  <si>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</si>
  <si>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</si>
  <si>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</si>
  <si>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</si>
  <si>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</si>
  <si>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</si>
  <si>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</si>
  <si>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</si>
  <si>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</si>
  <si>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</si>
  <si>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</si>
  <si>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</si>
  <si>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</si>
  <si>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</si>
  <si>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</si>
  <si>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</si>
  <si>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</si>
  <si>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</si>
  <si>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</si>
  <si>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</si>
  <si>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</si>
  <si>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</si>
  <si>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</si>
  <si>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</si>
  <si>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</si>
  <si>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</si>
  <si>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</si>
  <si>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</si>
  <si>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t>
    </r>
  </si>
  <si>
    <r>
      <t xml:space="preserve">In the </t>
    </r>
    <r>
      <rPr>
        <b/>
        <i/>
        <sz val="12"/>
        <rFont val="Calibri"/>
        <family val="2"/>
        <scheme val="minor"/>
      </rPr>
      <t>Comparison</t>
    </r>
    <r>
      <rPr>
        <sz val="12"/>
        <rFont val="Calibri"/>
        <family val="2"/>
        <scheme val="minor"/>
      </rPr>
      <t xml:space="preserve"> sheet all </t>
    </r>
    <r>
      <rPr>
        <b/>
        <sz val="12"/>
        <color rgb="FF0070C0"/>
        <rFont val="Calibri"/>
        <family val="2"/>
        <scheme val="minor"/>
      </rPr>
      <t>blue</t>
    </r>
    <r>
      <rPr>
        <sz val="12"/>
        <rFont val="Calibri"/>
        <family val="2"/>
        <scheme val="minor"/>
      </rPr>
      <t xml:space="preserv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t>
    </r>
    <r>
      <rPr>
        <b/>
        <sz val="12"/>
        <color rgb="FF0070C0"/>
        <rFont val="Calibri"/>
        <family val="2"/>
        <scheme val="minor"/>
      </rPr>
      <t>blue number</t>
    </r>
    <r>
      <rPr>
        <sz val="12"/>
        <rFont val="Calibri"/>
        <family val="2"/>
        <scheme val="minor"/>
      </rPr>
      <t xml:space="preserve">) have a </t>
    </r>
    <r>
      <rPr>
        <sz val="12"/>
        <color rgb="FFC00000"/>
        <rFont val="Calibri"/>
        <family val="2"/>
        <scheme val="minor"/>
      </rPr>
      <t>red diamond</t>
    </r>
    <r>
      <rPr>
        <sz val="12"/>
        <rFont val="Calibri"/>
        <family val="2"/>
        <scheme val="minor"/>
      </rPr>
      <t xml:space="preserve"> in the upper right hand corner of the cell.  By moving your mouse cursor over this diamond, a brief description of the input will be displayed on the screen.  </t>
    </r>
  </si>
  <si>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</si>
  <si>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</si>
  <si>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</si>
  <si>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</si>
  <si>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</si>
  <si>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</si>
  <si>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</si>
  <si>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https://www3.rma.usda.gov/apps/livestock_reports/</t>
  </si>
  <si>
    <t>http://www.cmegroup.com/trading/agricultural/livestock/feeder-cattle_quotes_globex_options.html</t>
  </si>
  <si>
    <t>http://www.beefbasis.com/</t>
  </si>
  <si>
    <t>http://www.agmanager.info/livestock/marketing/graphs/</t>
  </si>
  <si>
    <t>INPUTS:  Date = 05/24/2016; State = Kansas; Commodity = Feeder Cattle; Type = Steers Weight 2 (600-900 lbs)</t>
  </si>
  <si>
    <t>https://www3.rma.usda.gov/apps/livestock_reports/main.aspx</t>
  </si>
  <si>
    <t>OUTPUTS: End dates 8/23/2016 = 13 wk endorsement;  9/20/2016 = 17 wk endorsement; 10/18/2016 = 21 wk endorsement</t>
  </si>
  <si>
    <t>* See notes at bottom of page</t>
  </si>
  <si>
    <t>State</t>
  </si>
  <si>
    <t>County</t>
  </si>
  <si>
    <t>Endorsement Length</t>
  </si>
  <si>
    <t>Commodity</t>
  </si>
  <si>
    <t>Practice</t>
  </si>
  <si>
    <t>Crop Year</t>
  </si>
  <si>
    <t>Exp. End Value</t>
  </si>
  <si>
    <t>Coverage Price</t>
  </si>
  <si>
    <t>Rate</t>
  </si>
  <si>
    <t>Cost Per CWT</t>
  </si>
  <si>
    <t>End Date</t>
  </si>
  <si>
    <t>Actual End Value</t>
  </si>
  <si>
    <t>20 Kansas</t>
  </si>
  <si>
    <t>998 All Counties</t>
  </si>
  <si>
    <t>0801 Feeder Cattle</t>
  </si>
  <si>
    <t>810 Steers Weight 2</t>
  </si>
  <si>
    <t>997 No Practice Specified</t>
  </si>
  <si>
    <t>Notes:</t>
  </si>
  <si>
    <t>- Some endorsement lengths may not be available due to insufficient pricing or rating information.</t>
  </si>
  <si>
    <t>- For LRP Fed Cattle, Feeder Cattle and Swine, sales open from the time sales data is available (approximately 3:30 P.M. central time) until 9 A.M. central time the</t>
  </si>
  <si>
    <t>  next day.</t>
  </si>
  <si>
    <t>- For Lamb, sales available MONDAY ONLY. Sales open from the time of official release of coverage prices and rates on Monday morning (approximately 10 A.M.</t>
  </si>
  <si>
    <t>  central time) until 7 P.M. central time Monday.</t>
  </si>
  <si>
    <t>- For Lamb, preliminary coverage prices and rates may be available for viewing Friday evening and over the weekend but are subject to change at the official</t>
  </si>
  <si>
    <t>  release time on Monday. Coverage prices and rates may also be available for viewing following sales during the week.</t>
  </si>
  <si>
    <t>- Purchase of LRP must be made through an authorized livestock insurance agent.</t>
  </si>
  <si>
    <t>- For LRP Fed Cattle, Feeder Cattle, and Swine, coverage levels and rates shown are available only on the selected effective date until 9 a.m. the following day.</t>
  </si>
  <si>
    <t>- For LRP Lamb, coverage levels and rates shown are available only on the selected effective date until 7 p.m.</t>
  </si>
  <si>
    <t>- For the Formatted Print option, Adobe Acrobat is required. For unformatted printing, use the File-&gt;Print option from your browser menu.</t>
  </si>
  <si>
    <t>- Use landscape mode when doing unformatted printing for best results.</t>
  </si>
  <si>
    <t>Example screen from CME website showing option premiums for 5/26/2016 for OCT 2016 feeder cattle contract</t>
  </si>
  <si>
    <t>Example screen from CME website showing prices for 5/26/2016 for feeder cattle futures contracts</t>
  </si>
  <si>
    <t>http://www.cmegroup.com/trading/agricultural/livestock/feeder-cattle.html</t>
  </si>
  <si>
    <t>Oct</t>
  </si>
  <si>
    <t>Copyright 2017 AgManager.info, K-State Department of Agricultural Economics</t>
  </si>
  <si>
    <t>Version- 8.14.2017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</si>
</sst>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_);[Red]\(&quot;$&quot;#,##0.00\)"/>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52"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10"/>
      <color indexed="10"/>
      <name val="Arial"/>
      <family val="2"/>
    </font>
    <font>
      <sz val="11"/>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i/>
      <sz val="12"/>
      <name val="Calibri"/>
      <family val="2"/>
      <scheme val="minor"/>
    </font>
    <font>
      <b/>
      <sz val="12"/>
      <color rgb="FF0070C0"/>
      <name val="Calibri"/>
      <family val="2"/>
      <scheme val="minor"/>
    </font>
    <font>
      <sz val="12"/>
      <color rgb="FFC00000"/>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u/>
      <sz val="12"/>
      <color indexed="12"/>
      <name val="Calibri"/>
      <family val="2"/>
      <scheme val="minor"/>
    </font>
    <font>
      <sz val="10"/>
      <color rgb="FF000080"/>
      <name val="Arial"/>
      <family val="2"/>
    </font>
    <font>
      <b/>
      <sz val="8"/>
      <color rgb="FF000080"/>
      <name val="Arial"/>
      <family val="2"/>
    </font>
    <font>
      <sz val="8"/>
      <color rgb="FF000080"/>
      <name val="Arial"/>
      <family val="2"/>
    </font>
    <font>
      <b/>
      <sz val="11"/>
      <name val="Arial"/>
      <family val="2"/>
    </font>
    <font>
      <u/>
      <sz val="11"/>
      <color indexed="12"/>
      <name val="Arial"/>
      <family val="2"/>
    </font>
    <font>
      <u/>
      <sz val="12"/>
      <color indexed="12"/>
      <name val="Arial"/>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
      <patternFill patternType="solid">
        <fgColor rgb="FFADD8E6"/>
        <bgColor indexed="64"/>
      </patternFill>
    </fill>
    <fill>
      <patternFill patternType="solid">
        <fgColor rgb="FFB0E0E6"/>
        <bgColor indexed="64"/>
      </patternFill>
    </fill>
    <fill>
      <patternFill patternType="solid">
        <fgColor rgb="FF87CEEB"/>
        <bgColor indexed="64"/>
      </patternFill>
    </fill>
  </fills>
  <borders count="1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
      <left style="medium">
        <color rgb="FF000080"/>
      </left>
      <right style="medium">
        <color rgb="FF000080"/>
      </right>
      <top style="medium">
        <color rgb="FF000080"/>
      </top>
      <bottom style="medium">
        <color rgb="FF000080"/>
      </bottom>
      <diagonal/>
    </border>
    <border>
      <left/>
      <right/>
      <top/>
      <bottom style="medium">
        <color rgb="FF000080"/>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cellStyleXfs>
  <cellXfs count="178">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1" fillId="0" borderId="0" xfId="3" applyProtection="1"/>
    <xf numFmtId="0" fontId="22" fillId="6" borderId="2" xfId="3" applyFont="1" applyFill="1" applyBorder="1" applyProtection="1"/>
    <xf numFmtId="0" fontId="22" fillId="6" borderId="3" xfId="3" applyFont="1" applyFill="1" applyBorder="1" applyProtection="1"/>
    <xf numFmtId="0" fontId="22" fillId="6" borderId="4" xfId="3" applyFont="1" applyFill="1" applyBorder="1" applyProtection="1"/>
    <xf numFmtId="0" fontId="23" fillId="6" borderId="5" xfId="3" applyFont="1" applyFill="1" applyBorder="1" applyAlignment="1" applyProtection="1"/>
    <xf numFmtId="0" fontId="24" fillId="6" borderId="0" xfId="3" applyFont="1" applyFill="1" applyAlignment="1" applyProtection="1"/>
    <xf numFmtId="0" fontId="25" fillId="6" borderId="0" xfId="3" applyFont="1" applyFill="1" applyBorder="1" applyProtection="1"/>
    <xf numFmtId="0" fontId="22" fillId="6" borderId="0" xfId="3" applyFont="1" applyFill="1" applyBorder="1" applyProtection="1"/>
    <xf numFmtId="0" fontId="22" fillId="6" borderId="6" xfId="3" applyFont="1" applyFill="1" applyBorder="1" applyProtection="1"/>
    <xf numFmtId="0" fontId="25" fillId="6" borderId="5" xfId="3" applyFont="1" applyFill="1" applyBorder="1" applyProtection="1"/>
    <xf numFmtId="0" fontId="26" fillId="6" borderId="0" xfId="3" applyFont="1" applyFill="1" applyBorder="1" applyAlignment="1" applyProtection="1">
      <alignment horizontal="left"/>
    </xf>
    <xf numFmtId="0" fontId="27" fillId="6" borderId="0" xfId="3" applyFont="1" applyFill="1" applyAlignment="1" applyProtection="1">
      <alignment horizontal="left"/>
    </xf>
    <xf numFmtId="0" fontId="28" fillId="6" borderId="0" xfId="3" applyFont="1" applyFill="1" applyAlignment="1" applyProtection="1"/>
    <xf numFmtId="0" fontId="22" fillId="6" borderId="5" xfId="3" applyFont="1" applyFill="1" applyBorder="1" applyAlignment="1" applyProtection="1">
      <alignment horizontal="center"/>
    </xf>
    <xf numFmtId="0" fontId="31" fillId="6" borderId="0" xfId="3" applyFont="1" applyFill="1" applyAlignment="1" applyProtection="1">
      <alignment wrapText="1"/>
    </xf>
    <xf numFmtId="0" fontId="32" fillId="6" borderId="0" xfId="3" applyFont="1" applyFill="1" applyBorder="1" applyProtection="1"/>
    <xf numFmtId="0" fontId="33" fillId="6" borderId="6" xfId="3" applyFont="1" applyFill="1" applyBorder="1" applyProtection="1"/>
    <xf numFmtId="0" fontId="22" fillId="6" borderId="9" xfId="3" applyFont="1" applyFill="1" applyBorder="1" applyProtection="1"/>
    <xf numFmtId="0" fontId="22" fillId="6" borderId="1" xfId="3" applyFont="1" applyFill="1" applyBorder="1" applyProtection="1"/>
    <xf numFmtId="0" fontId="32" fillId="6" borderId="1" xfId="3" applyFont="1" applyFill="1" applyBorder="1" applyProtection="1"/>
    <xf numFmtId="0" fontId="34" fillId="6" borderId="7" xfId="3" applyFont="1" applyFill="1" applyBorder="1" applyAlignment="1" applyProtection="1">
      <alignment horizontal="right"/>
    </xf>
    <xf numFmtId="0" fontId="8" fillId="0" borderId="0" xfId="3" applyFont="1" applyProtection="1"/>
    <xf numFmtId="0" fontId="8" fillId="0" borderId="0" xfId="3" applyFont="1" applyFill="1" applyBorder="1" applyProtection="1"/>
    <xf numFmtId="0" fontId="36" fillId="0" borderId="0" xfId="3" applyFont="1" applyAlignment="1" applyProtection="1"/>
    <xf numFmtId="0" fontId="37" fillId="0" borderId="0" xfId="3" applyFont="1" applyAlignment="1" applyProtection="1"/>
    <xf numFmtId="0" fontId="37" fillId="0" borderId="0" xfId="3" applyFont="1" applyProtection="1"/>
    <xf numFmtId="0" fontId="38" fillId="0" borderId="0" xfId="3" applyFont="1" applyProtection="1"/>
    <xf numFmtId="0" fontId="38" fillId="0" borderId="0" xfId="3" applyFont="1" applyFill="1" applyProtection="1"/>
    <xf numFmtId="0" fontId="37" fillId="0" borderId="0" xfId="3" applyFont="1" applyFill="1" applyProtection="1"/>
    <xf numFmtId="0" fontId="37" fillId="0" borderId="0" xfId="3" applyFont="1" applyAlignment="1" applyProtection="1">
      <alignment wrapText="1"/>
    </xf>
    <xf numFmtId="0" fontId="36" fillId="0" borderId="0" xfId="3" applyFont="1" applyProtection="1"/>
    <xf numFmtId="0" fontId="42" fillId="0" borderId="0" xfId="3" applyFont="1" applyProtection="1"/>
    <xf numFmtId="0" fontId="37" fillId="0" borderId="0" xfId="3" applyFont="1" applyAlignment="1" applyProtection="1">
      <alignment horizontal="center"/>
    </xf>
    <xf numFmtId="0" fontId="15" fillId="0" borderId="0" xfId="3" applyFont="1" applyProtection="1"/>
    <xf numFmtId="0" fontId="37" fillId="0" borderId="0" xfId="5" applyFont="1" applyFill="1" applyAlignment="1" applyProtection="1"/>
    <xf numFmtId="0" fontId="37" fillId="0" borderId="0" xfId="3" applyFont="1" applyFill="1" applyAlignment="1" applyProtection="1"/>
    <xf numFmtId="0" fontId="45" fillId="0" borderId="0" xfId="5" applyFont="1" applyAlignment="1" applyProtection="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47" fillId="8" borderId="14" xfId="0" applyFont="1" applyFill="1" applyBorder="1" applyAlignment="1">
      <alignment horizontal="center" vertical="center" wrapText="1" readingOrder="1"/>
    </xf>
    <xf numFmtId="0" fontId="48" fillId="9" borderId="14" xfId="0" applyFont="1" applyFill="1" applyBorder="1" applyAlignment="1">
      <alignment horizontal="center" vertical="center" wrapText="1" readingOrder="1"/>
    </xf>
    <xf numFmtId="8" fontId="48" fillId="9" borderId="14" xfId="0" applyNumberFormat="1" applyFont="1" applyFill="1" applyBorder="1" applyAlignment="1">
      <alignment horizontal="center" vertical="center" wrapText="1" readingOrder="1"/>
    </xf>
    <xf numFmtId="14" fontId="48" fillId="9" borderId="14" xfId="0" applyNumberFormat="1" applyFont="1" applyFill="1" applyBorder="1" applyAlignment="1">
      <alignment horizontal="center" vertical="center" wrapText="1" readingOrder="1"/>
    </xf>
    <xf numFmtId="0" fontId="48" fillId="9" borderId="14" xfId="0" applyFont="1" applyFill="1" applyBorder="1" applyAlignment="1">
      <alignment horizontal="left" vertical="center" wrapText="1" readingOrder="1"/>
    </xf>
    <xf numFmtId="0" fontId="48" fillId="10" borderId="14" xfId="0" applyFont="1" applyFill="1" applyBorder="1" applyAlignment="1">
      <alignment horizontal="center" vertical="center" wrapText="1" readingOrder="1"/>
    </xf>
    <xf numFmtId="8" fontId="48" fillId="10" borderId="14" xfId="0" applyNumberFormat="1" applyFont="1" applyFill="1" applyBorder="1" applyAlignment="1">
      <alignment horizontal="center" vertical="center" wrapText="1" readingOrder="1"/>
    </xf>
    <xf numFmtId="14" fontId="48" fillId="10" borderId="14" xfId="0" applyNumberFormat="1" applyFont="1" applyFill="1" applyBorder="1" applyAlignment="1">
      <alignment horizontal="center" vertical="center" wrapText="1" readingOrder="1"/>
    </xf>
    <xf numFmtId="0" fontId="48" fillId="10" borderId="14" xfId="0" applyFont="1" applyFill="1" applyBorder="1" applyAlignment="1">
      <alignment horizontal="left" vertical="center" wrapText="1" readingOrder="1"/>
    </xf>
    <xf numFmtId="0" fontId="46" fillId="0" borderId="0" xfId="0" applyFont="1" applyAlignment="1">
      <alignment horizontal="left" vertical="top" wrapText="1" readingOrder="1"/>
    </xf>
    <xf numFmtId="0" fontId="20" fillId="0" borderId="0" xfId="5" applyAlignment="1" applyProtection="1"/>
    <xf numFmtId="0" fontId="25" fillId="6" borderId="5" xfId="3" applyFont="1" applyFill="1" applyBorder="1" applyAlignment="1" applyProtection="1">
      <alignment horizontal="left" wrapText="1"/>
    </xf>
    <xf numFmtId="0" fontId="29" fillId="6" borderId="0" xfId="3" applyFont="1" applyFill="1" applyAlignment="1" applyProtection="1">
      <alignment wrapText="1"/>
    </xf>
    <xf numFmtId="0" fontId="29" fillId="6" borderId="5" xfId="3" applyFont="1" applyFill="1" applyBorder="1" applyAlignment="1" applyProtection="1">
      <alignment wrapText="1"/>
    </xf>
    <xf numFmtId="0" fontId="30" fillId="0" borderId="0" xfId="3" applyFont="1" applyAlignment="1" applyProtection="1">
      <alignment wrapText="1"/>
    </xf>
    <xf numFmtId="0" fontId="14" fillId="0" borderId="0" xfId="3" applyFont="1" applyAlignment="1" applyProtection="1">
      <alignment wrapText="1"/>
    </xf>
    <xf numFmtId="0" fontId="34" fillId="6" borderId="1" xfId="3" applyFont="1" applyFill="1" applyBorder="1" applyAlignment="1" applyProtection="1">
      <alignment horizontal="right"/>
    </xf>
    <xf numFmtId="0" fontId="31" fillId="6" borderId="1" xfId="3" applyFont="1" applyFill="1" applyBorder="1" applyAlignment="1" applyProtection="1">
      <alignment horizontal="right"/>
    </xf>
    <xf numFmtId="14" fontId="34" fillId="6" borderId="1" xfId="3" applyNumberFormat="1" applyFont="1" applyFill="1" applyBorder="1" applyAlignment="1" applyProtection="1">
      <alignment horizontal="left"/>
    </xf>
    <xf numFmtId="0" fontId="31" fillId="6" borderId="1" xfId="3" applyFont="1" applyFill="1" applyBorder="1" applyAlignment="1" applyProtection="1">
      <alignment horizontal="left"/>
    </xf>
    <xf numFmtId="0" fontId="35" fillId="0" borderId="0" xfId="3" applyFont="1" applyProtection="1"/>
    <xf numFmtId="0" fontId="37" fillId="0" borderId="0" xfId="3" applyFont="1" applyAlignment="1" applyProtection="1">
      <alignment horizontal="left" vertical="top" wrapText="1"/>
    </xf>
    <xf numFmtId="0" fontId="45" fillId="0" borderId="0" xfId="4" applyFont="1" applyAlignment="1" applyProtection="1"/>
    <xf numFmtId="0" fontId="37" fillId="0" borderId="0" xfId="3" applyFont="1" applyAlignment="1" applyProtection="1"/>
    <xf numFmtId="0" fontId="45" fillId="0" borderId="0" xfId="5" applyFont="1" applyAlignment="1" applyProtection="1"/>
    <xf numFmtId="0" fontId="37" fillId="0" borderId="0" xfId="3" applyFont="1" applyAlignment="1" applyProtection="1">
      <alignment horizontal="left" wrapText="1"/>
    </xf>
    <xf numFmtId="0" fontId="38" fillId="0" borderId="0" xfId="3" applyFont="1" applyAlignment="1" applyProtection="1">
      <alignment horizontal="left" wrapText="1"/>
    </xf>
    <xf numFmtId="0" fontId="36" fillId="0" borderId="0" xfId="3" applyFont="1" applyAlignment="1" applyProtection="1"/>
    <xf numFmtId="0" fontId="37" fillId="0" borderId="0" xfId="3" applyFont="1" applyAlignment="1" applyProtection="1">
      <alignment horizontal="left" vertical="center" wrapText="1"/>
    </xf>
    <xf numFmtId="0" fontId="38" fillId="0" borderId="0" xfId="3" applyFont="1" applyAlignment="1" applyProtection="1">
      <alignment horizontal="left" vertical="center" wrapText="1"/>
    </xf>
    <xf numFmtId="0" fontId="43" fillId="2" borderId="0" xfId="4" applyFont="1" applyFill="1" applyAlignment="1" applyProtection="1">
      <alignment horizontal="center"/>
    </xf>
    <xf numFmtId="0" fontId="44" fillId="0" borderId="0" xfId="3" applyFont="1" applyAlignment="1">
      <alignment horizontal="center"/>
    </xf>
    <xf numFmtId="0" fontId="2" fillId="2" borderId="0" xfId="0" applyFont="1" applyFill="1" applyAlignment="1"/>
    <xf numFmtId="0" fontId="2" fillId="2" borderId="0" xfId="0" applyFont="1" applyFill="1" applyAlignment="1">
      <alignment horizontal="center"/>
    </xf>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49" fillId="5" borderId="0" xfId="0" applyFont="1" applyFill="1" applyAlignment="1">
      <alignment horizontal="center"/>
    </xf>
    <xf numFmtId="0" fontId="8" fillId="5" borderId="0" xfId="0" applyFont="1" applyFill="1" applyAlignment="1">
      <alignment horizontal="center"/>
    </xf>
    <xf numFmtId="0" fontId="50" fillId="5" borderId="0" xfId="1" applyFont="1" applyFill="1" applyAlignment="1" applyProtection="1">
      <alignment horizontal="center"/>
    </xf>
    <xf numFmtId="0" fontId="51" fillId="5" borderId="0" xfId="1" applyFont="1" applyFill="1" applyBorder="1" applyAlignment="1" applyProtection="1">
      <alignment horizontal="center"/>
    </xf>
    <xf numFmtId="0" fontId="8" fillId="5" borderId="0" xfId="0" applyFont="1" applyFill="1" applyBorder="1" applyAlignment="1">
      <alignment horizontal="center"/>
    </xf>
    <xf numFmtId="0" fontId="2" fillId="5" borderId="0" xfId="0" applyFont="1" applyFill="1" applyAlignment="1">
      <alignment horizontal="left"/>
    </xf>
    <xf numFmtId="0" fontId="4" fillId="5" borderId="0" xfId="1" applyFill="1" applyAlignment="1" applyProtection="1">
      <alignment horizontal="right"/>
    </xf>
    <xf numFmtId="0" fontId="9" fillId="5" borderId="0" xfId="1" applyFont="1" applyFill="1" applyBorder="1" applyAlignment="1" applyProtection="1">
      <alignment horizontal="right"/>
    </xf>
    <xf numFmtId="0" fontId="46" fillId="0" borderId="0" xfId="0" applyFont="1" applyAlignment="1">
      <alignment horizontal="left" vertical="top" wrapText="1" readingOrder="1"/>
    </xf>
    <xf numFmtId="0" fontId="46" fillId="0" borderId="0" xfId="0" applyFont="1" applyAlignment="1">
      <alignment vertical="center" wrapText="1"/>
    </xf>
    <xf numFmtId="0" fontId="47" fillId="0" borderId="15" xfId="0" applyFont="1" applyBorder="1" applyAlignment="1">
      <alignment horizontal="left" vertical="center" wrapText="1" readingOrder="1"/>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100</c:v>
                </c:pt>
                <c:pt idx="1">
                  <c:v>110</c:v>
                </c:pt>
                <c:pt idx="2">
                  <c:v>120</c:v>
                </c:pt>
                <c:pt idx="3">
                  <c:v>130</c:v>
                </c:pt>
                <c:pt idx="4">
                  <c:v>140</c:v>
                </c:pt>
                <c:pt idx="5">
                  <c:v>150</c:v>
                </c:pt>
                <c:pt idx="6">
                  <c:v>160</c:v>
                </c:pt>
                <c:pt idx="7">
                  <c:v>170</c:v>
                </c:pt>
                <c:pt idx="8">
                  <c:v>180</c:v>
                </c:pt>
              </c:numCache>
            </c:numRef>
          </c:cat>
          <c:val>
            <c:numRef>
              <c:f>Comparison!$K$12:$K$20</c:f>
              <c:numCache>
                <c:formatCode>"$"#,##0.00</c:formatCode>
                <c:ptCount val="9"/>
                <c:pt idx="0">
                  <c:v>110.23</c:v>
                </c:pt>
                <c:pt idx="1">
                  <c:v>120.23</c:v>
                </c:pt>
                <c:pt idx="2">
                  <c:v>130.22999999999999</c:v>
                </c:pt>
                <c:pt idx="3">
                  <c:v>140.22999999999999</c:v>
                </c:pt>
                <c:pt idx="4">
                  <c:v>150.22999999999999</c:v>
                </c:pt>
                <c:pt idx="5">
                  <c:v>160.22999999999999</c:v>
                </c:pt>
                <c:pt idx="6">
                  <c:v>170.23</c:v>
                </c:pt>
                <c:pt idx="7">
                  <c:v>180.23</c:v>
                </c:pt>
                <c:pt idx="8">
                  <c:v>190.23</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152.12898989898991</c:v>
                </c:pt>
                <c:pt idx="1">
                  <c:v>152.02797979797981</c:v>
                </c:pt>
                <c:pt idx="2">
                  <c:v>151.92696969696968</c:v>
                </c:pt>
                <c:pt idx="3">
                  <c:v>151.82595959595957</c:v>
                </c:pt>
                <c:pt idx="4">
                  <c:v>151.72494949494947</c:v>
                </c:pt>
                <c:pt idx="5">
                  <c:v>151.62393939393937</c:v>
                </c:pt>
                <c:pt idx="6">
                  <c:v>151.52292929292926</c:v>
                </c:pt>
                <c:pt idx="7">
                  <c:v>151.42191919191919</c:v>
                </c:pt>
                <c:pt idx="8">
                  <c:v>151.32090909090908</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($147)</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143.21799999999999</c:v>
                </c:pt>
                <c:pt idx="1">
                  <c:v>142.21799999999999</c:v>
                </c:pt>
                <c:pt idx="2">
                  <c:v>141.21799999999999</c:v>
                </c:pt>
                <c:pt idx="3">
                  <c:v>140.21799999999999</c:v>
                </c:pt>
                <c:pt idx="4">
                  <c:v>145.80799999999999</c:v>
                </c:pt>
                <c:pt idx="5">
                  <c:v>155.80799999999999</c:v>
                </c:pt>
                <c:pt idx="6">
                  <c:v>165.80799999999996</c:v>
                </c:pt>
                <c:pt idx="7">
                  <c:v>175.80799999999999</c:v>
                </c:pt>
                <c:pt idx="8">
                  <c:v>185.80799999999996</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($138)</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144.2249494949495</c:v>
                </c:pt>
                <c:pt idx="1">
                  <c:v>144.12393939393942</c:v>
                </c:pt>
                <c:pt idx="2">
                  <c:v>144.02292929292929</c:v>
                </c:pt>
                <c:pt idx="3">
                  <c:v>143.92191919191916</c:v>
                </c:pt>
                <c:pt idx="4">
                  <c:v>145.90171717171717</c:v>
                </c:pt>
                <c:pt idx="5">
                  <c:v>155.90171717171714</c:v>
                </c:pt>
                <c:pt idx="6">
                  <c:v>165.90171717171717</c:v>
                </c:pt>
                <c:pt idx="7">
                  <c:v>175.90171717171717</c:v>
                </c:pt>
                <c:pt idx="8">
                  <c:v>185.90171717171714</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($146)</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148.15424242424245</c:v>
                </c:pt>
                <c:pt idx="1">
                  <c:v>148.05323232323232</c:v>
                </c:pt>
                <c:pt idx="2">
                  <c:v>147.95222222222219</c:v>
                </c:pt>
                <c:pt idx="3">
                  <c:v>147.85121212121211</c:v>
                </c:pt>
                <c:pt idx="4">
                  <c:v>147.75020202020198</c:v>
                </c:pt>
                <c:pt idx="5">
                  <c:v>151.62898989898989</c:v>
                </c:pt>
                <c:pt idx="6">
                  <c:v>161.62898989898989</c:v>
                </c:pt>
                <c:pt idx="7">
                  <c:v>171.62898989898989</c:v>
                </c:pt>
                <c:pt idx="8">
                  <c:v>181.62898989898989</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($138/$146)</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148.07848484848486</c:v>
                </c:pt>
                <c:pt idx="1">
                  <c:v>147.97747474747476</c:v>
                </c:pt>
                <c:pt idx="2">
                  <c:v>147.87646464646463</c:v>
                </c:pt>
                <c:pt idx="3">
                  <c:v>147.77545454545452</c:v>
                </c:pt>
                <c:pt idx="4">
                  <c:v>149.7552525252525</c:v>
                </c:pt>
                <c:pt idx="5">
                  <c:v>155.65424242424243</c:v>
                </c:pt>
                <c:pt idx="6">
                  <c:v>155.55323232323229</c:v>
                </c:pt>
                <c:pt idx="7">
                  <c:v>155.45222222222222</c:v>
                </c:pt>
                <c:pt idx="8">
                  <c:v>155.35121212121211</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180"/>
          <c:min val="11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tmp"/><Relationship Id="rId1" Type="http://schemas.openxmlformats.org/officeDocument/2006/relationships/image" Target="../media/image6.tmp"/></Relationships>
</file>

<file path=xl/drawings/_rels/drawing4.xml.rels><?xml version="1.0" encoding="UTF-8" standalone="yes"?>
<Relationships xmlns="http://schemas.openxmlformats.org/package/2006/relationships"><Relationship Id="rId1"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58</xdr:row>
      <xdr:rowOff>76199</xdr:rowOff>
    </xdr:from>
    <xdr:to>
      <xdr:col>13</xdr:col>
      <xdr:colOff>47625</xdr:colOff>
      <xdr:row>86</xdr:row>
      <xdr:rowOff>7170</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06" t="21973" r="1106"/>
        <a:stretch/>
      </xdr:blipFill>
      <xdr:spPr>
        <a:xfrm>
          <a:off x="419100" y="9467849"/>
          <a:ext cx="7581900" cy="4464871"/>
        </a:xfrm>
        <a:prstGeom prst="rect">
          <a:avLst/>
        </a:prstGeom>
      </xdr:spPr>
    </xdr:pic>
    <xdr:clientData/>
  </xdr:twoCellAnchor>
  <xdr:twoCellAnchor editAs="oneCell">
    <xdr:from>
      <xdr:col>0</xdr:col>
      <xdr:colOff>447674</xdr:colOff>
      <xdr:row>85</xdr:row>
      <xdr:rowOff>152400</xdr:rowOff>
    </xdr:from>
    <xdr:to>
      <xdr:col>13</xdr:col>
      <xdr:colOff>28575</xdr:colOff>
      <xdr:row>130</xdr:row>
      <xdr:rowOff>54468</xdr:rowOff>
    </xdr:to>
    <xdr:pic>
      <xdr:nvPicPr>
        <xdr:cNvPr id="4" name="Picture 3" descr="Screen Clipping"/>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04" r="1110"/>
        <a:stretch/>
      </xdr:blipFill>
      <xdr:spPr>
        <a:xfrm>
          <a:off x="447674" y="13916025"/>
          <a:ext cx="7534276" cy="7188693"/>
        </a:xfrm>
        <a:prstGeom prst="rect">
          <a:avLst/>
        </a:prstGeom>
      </xdr:spPr>
    </xdr:pic>
    <xdr:clientData/>
  </xdr:twoCellAnchor>
  <xdr:twoCellAnchor>
    <xdr:from>
      <xdr:col>0</xdr:col>
      <xdr:colOff>419100</xdr:colOff>
      <xdr:row>58</xdr:row>
      <xdr:rowOff>28575</xdr:rowOff>
    </xdr:from>
    <xdr:to>
      <xdr:col>13</xdr:col>
      <xdr:colOff>47625</xdr:colOff>
      <xdr:row>130</xdr:row>
      <xdr:rowOff>95250</xdr:rowOff>
    </xdr:to>
    <xdr:sp macro="" textlink="">
      <xdr:nvSpPr>
        <xdr:cNvPr id="5" name="Rectangle 4"/>
        <xdr:cNvSpPr/>
      </xdr:nvSpPr>
      <xdr:spPr>
        <a:xfrm>
          <a:off x="419100" y="9420225"/>
          <a:ext cx="7581900" cy="11725275"/>
        </a:xfrm>
        <a:prstGeom prst="rect">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57149</xdr:colOff>
      <xdr:row>3</xdr:row>
      <xdr:rowOff>9524</xdr:rowOff>
    </xdr:from>
    <xdr:to>
      <xdr:col>13</xdr:col>
      <xdr:colOff>0</xdr:colOff>
      <xdr:row>53</xdr:row>
      <xdr:rowOff>59070</xdr:rowOff>
    </xdr:to>
    <xdr:pic>
      <xdr:nvPicPr>
        <xdr:cNvPr id="6" name="Picture 5" descr="Screen Clipping"/>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64" t="14701"/>
        <a:stretch/>
      </xdr:blipFill>
      <xdr:spPr>
        <a:xfrm>
          <a:off x="504824" y="495299"/>
          <a:ext cx="7448551" cy="8145796"/>
        </a:xfrm>
        <a:prstGeom prst="rect">
          <a:avLst/>
        </a:prstGeom>
        <a:ln w="28575">
          <a:solidFill>
            <a:schemeClr val="tx2">
              <a:lumMod val="60000"/>
              <a:lumOff val="4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3</xdr:row>
      <xdr:rowOff>59493</xdr:rowOff>
    </xdr:from>
    <xdr:to>
      <xdr:col>15</xdr:col>
      <xdr:colOff>9525</xdr:colOff>
      <xdr:row>39</xdr:row>
      <xdr:rowOff>110578</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8031"/>
        <a:stretch/>
      </xdr:blipFill>
      <xdr:spPr>
        <a:xfrm>
          <a:off x="457200" y="545268"/>
          <a:ext cx="8667750" cy="5880385"/>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agmanager.info/livestock/marketing/graphs/" TargetMode="External"/><Relationship Id="rId7" Type="http://schemas.openxmlformats.org/officeDocument/2006/relationships/vmlDrawing" Target="../drawings/vmlDrawing1.vml"/><Relationship Id="rId2" Type="http://schemas.openxmlformats.org/officeDocument/2006/relationships/hyperlink" Target="http://www.cmegroup.com/trading/agricultural/livestock/feeder-cattle_quotes_globex_options.html" TargetMode="External"/><Relationship Id="rId1" Type="http://schemas.openxmlformats.org/officeDocument/2006/relationships/hyperlink" Target="https://www3.rma.usda.gov/apps/livestock_report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beefbasis.com/"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3.rma.usda.gov/apps/livestock_reports/main.aspx" TargetMode="External"/><Relationship Id="rId1" Type="http://schemas.openxmlformats.org/officeDocument/2006/relationships/hyperlink" Target="http://www3.rma.usda.gov/apps/livestock_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6"/>
  <sheetViews>
    <sheetView showGridLines="0" tabSelected="1" zoomScale="92" zoomScaleNormal="100" workbookViewId="0">
      <selection activeCell="B29" sqref="B29:L30"/>
    </sheetView>
  </sheetViews>
  <sheetFormatPr defaultRowHeight="12.75" x14ac:dyDescent="0.2"/>
  <cols>
    <col min="1" max="1" width="3.5703125" style="85" customWidth="1"/>
    <col min="2" max="4" width="9.140625" style="85"/>
    <col min="5" max="5" width="9" style="85" customWidth="1"/>
    <col min="6" max="11" width="9.140625" style="85"/>
    <col min="12" max="12" width="23.28515625" style="85" customWidth="1"/>
    <col min="13" max="13" width="3.7109375" style="85" customWidth="1"/>
    <col min="14" max="16384" width="9.140625" style="85"/>
  </cols>
  <sheetData>
    <row r="1" spans="2:24" ht="10.5" customHeight="1" thickBot="1" x14ac:dyDescent="0.25"/>
    <row r="2" spans="2:24" ht="7.5" customHeight="1" x14ac:dyDescent="0.25">
      <c r="B2" s="86"/>
      <c r="C2" s="87"/>
      <c r="D2" s="87"/>
      <c r="E2" s="87"/>
      <c r="F2" s="87"/>
      <c r="G2" s="87"/>
      <c r="H2" s="87"/>
      <c r="I2" s="87"/>
      <c r="J2" s="87"/>
      <c r="K2" s="87"/>
      <c r="L2" s="88"/>
    </row>
    <row r="3" spans="2:24" ht="26.25" x14ac:dyDescent="0.4">
      <c r="B3" s="89" t="s">
        <v>69</v>
      </c>
      <c r="C3" s="90"/>
      <c r="D3" s="90"/>
      <c r="E3" s="90"/>
      <c r="F3" s="90"/>
      <c r="G3" s="90"/>
      <c r="H3" s="91"/>
      <c r="I3" s="91"/>
      <c r="J3" s="92"/>
      <c r="K3" s="92"/>
      <c r="L3" s="93"/>
    </row>
    <row r="4" spans="2:24" ht="18" customHeight="1" x14ac:dyDescent="0.3">
      <c r="B4" s="94"/>
      <c r="C4" s="95"/>
      <c r="D4" s="96"/>
      <c r="E4" s="96"/>
      <c r="F4" s="97"/>
      <c r="G4" s="97"/>
      <c r="H4" s="91"/>
      <c r="I4" s="91"/>
      <c r="J4" s="92"/>
      <c r="K4" s="92"/>
      <c r="L4" s="93"/>
    </row>
    <row r="5" spans="2:24" ht="15.75" customHeight="1" x14ac:dyDescent="0.25">
      <c r="B5" s="137" t="s">
        <v>70</v>
      </c>
      <c r="C5" s="138"/>
      <c r="D5" s="138"/>
      <c r="E5" s="138"/>
      <c r="F5" s="138"/>
      <c r="G5" s="138"/>
      <c r="H5" s="138"/>
      <c r="I5" s="138"/>
      <c r="J5" s="92"/>
      <c r="K5" s="92"/>
      <c r="L5" s="93"/>
      <c r="N5" s="140"/>
      <c r="O5" s="141"/>
      <c r="P5" s="141"/>
      <c r="Q5" s="141"/>
      <c r="R5" s="141"/>
      <c r="S5" s="141"/>
      <c r="T5" s="141"/>
      <c r="U5" s="141"/>
      <c r="V5" s="141"/>
      <c r="W5" s="141"/>
      <c r="X5" s="141"/>
    </row>
    <row r="6" spans="2:24" ht="15.75" x14ac:dyDescent="0.25">
      <c r="B6" s="139"/>
      <c r="C6" s="138"/>
      <c r="D6" s="138"/>
      <c r="E6" s="138"/>
      <c r="F6" s="138"/>
      <c r="G6" s="138"/>
      <c r="H6" s="138"/>
      <c r="I6" s="138"/>
      <c r="J6" s="92"/>
      <c r="K6" s="92"/>
      <c r="L6" s="93"/>
      <c r="N6" s="141"/>
      <c r="O6" s="141"/>
      <c r="P6" s="141"/>
      <c r="Q6" s="141"/>
      <c r="R6" s="141"/>
      <c r="S6" s="141"/>
      <c r="T6" s="141"/>
      <c r="U6" s="141"/>
      <c r="V6" s="141"/>
      <c r="W6" s="141"/>
      <c r="X6" s="141"/>
    </row>
    <row r="7" spans="2:24" ht="5.25" customHeight="1" x14ac:dyDescent="0.25">
      <c r="B7" s="98"/>
      <c r="C7" s="99"/>
      <c r="D7" s="99"/>
      <c r="E7" s="99"/>
      <c r="F7" s="99"/>
      <c r="G7" s="99"/>
      <c r="H7" s="99"/>
      <c r="I7" s="92"/>
      <c r="J7" s="92"/>
      <c r="K7" s="100"/>
      <c r="L7" s="101"/>
    </row>
    <row r="8" spans="2:24" ht="13.5" customHeight="1" thickBot="1" x14ac:dyDescent="0.3">
      <c r="B8" s="102"/>
      <c r="C8" s="142"/>
      <c r="D8" s="143"/>
      <c r="E8" s="144"/>
      <c r="F8" s="145"/>
      <c r="G8" s="103"/>
      <c r="H8" s="103"/>
      <c r="I8" s="103"/>
      <c r="J8" s="103"/>
      <c r="K8" s="104"/>
      <c r="L8" s="105" t="s">
        <v>126</v>
      </c>
      <c r="N8" s="146"/>
    </row>
    <row r="9" spans="2:24" ht="9.75" customHeight="1" x14ac:dyDescent="0.25">
      <c r="B9" s="106"/>
      <c r="C9" s="106"/>
      <c r="D9" s="106"/>
      <c r="E9" s="106"/>
      <c r="F9" s="106"/>
      <c r="G9" s="107"/>
      <c r="H9" s="106"/>
      <c r="I9" s="106"/>
      <c r="J9" s="106"/>
      <c r="K9" s="106"/>
      <c r="L9" s="106"/>
      <c r="N9" s="146"/>
    </row>
    <row r="28" spans="2:12" ht="15.75" x14ac:dyDescent="0.25">
      <c r="B28" s="108" t="s">
        <v>71</v>
      </c>
      <c r="C28" s="109"/>
      <c r="D28" s="109"/>
      <c r="E28" s="109"/>
      <c r="F28" s="110"/>
      <c r="G28" s="110"/>
      <c r="H28" s="110"/>
      <c r="I28" s="110"/>
      <c r="J28" s="110"/>
      <c r="K28" s="110"/>
      <c r="L28" s="110"/>
    </row>
    <row r="29" spans="2:12" x14ac:dyDescent="0.2">
      <c r="B29" s="147" t="s">
        <v>72</v>
      </c>
      <c r="C29" s="147"/>
      <c r="D29" s="147"/>
      <c r="E29" s="147"/>
      <c r="F29" s="147"/>
      <c r="G29" s="147"/>
      <c r="H29" s="147"/>
      <c r="I29" s="147"/>
      <c r="J29" s="147"/>
      <c r="K29" s="147"/>
      <c r="L29" s="147"/>
    </row>
    <row r="30" spans="2:12" ht="35.25" customHeight="1" x14ac:dyDescent="0.2">
      <c r="B30" s="147"/>
      <c r="C30" s="147"/>
      <c r="D30" s="147"/>
      <c r="E30" s="147"/>
      <c r="F30" s="147"/>
      <c r="G30" s="147"/>
      <c r="H30" s="147"/>
      <c r="I30" s="147"/>
      <c r="J30" s="147"/>
      <c r="K30" s="147"/>
      <c r="L30" s="147"/>
    </row>
    <row r="31" spans="2:12" ht="19.5" customHeight="1" x14ac:dyDescent="0.25">
      <c r="B31" s="153" t="s">
        <v>73</v>
      </c>
      <c r="C31" s="149"/>
      <c r="D31" s="149"/>
      <c r="E31" s="149"/>
      <c r="F31" s="111"/>
      <c r="G31" s="112"/>
      <c r="H31" s="111"/>
      <c r="I31" s="111"/>
      <c r="J31" s="111"/>
      <c r="K31" s="111"/>
      <c r="L31" s="111"/>
    </row>
    <row r="32" spans="2:12" ht="20.25" customHeight="1" x14ac:dyDescent="0.25">
      <c r="B32" s="109" t="s">
        <v>74</v>
      </c>
      <c r="C32" s="109"/>
      <c r="D32" s="109"/>
      <c r="E32" s="109"/>
      <c r="F32" s="110"/>
      <c r="G32" s="113"/>
      <c r="H32" s="110"/>
      <c r="I32" s="110"/>
      <c r="J32" s="110"/>
      <c r="K32" s="110"/>
      <c r="L32" s="110"/>
    </row>
    <row r="33" spans="2:17" ht="29.25" customHeight="1" x14ac:dyDescent="0.2">
      <c r="B33" s="154" t="s">
        <v>75</v>
      </c>
      <c r="C33" s="155"/>
      <c r="D33" s="155"/>
      <c r="E33" s="155"/>
      <c r="F33" s="155"/>
      <c r="G33" s="155"/>
      <c r="H33" s="155"/>
      <c r="I33" s="155"/>
      <c r="J33" s="155"/>
      <c r="K33" s="155"/>
      <c r="L33" s="155"/>
    </row>
    <row r="34" spans="2:17" ht="17.25" customHeight="1" x14ac:dyDescent="0.2">
      <c r="B34" s="155"/>
      <c r="C34" s="155"/>
      <c r="D34" s="155"/>
      <c r="E34" s="155"/>
      <c r="F34" s="155"/>
      <c r="G34" s="155"/>
      <c r="H34" s="155"/>
      <c r="I34" s="155"/>
      <c r="J34" s="155"/>
      <c r="K34" s="155"/>
      <c r="L34" s="155"/>
    </row>
    <row r="35" spans="2:17" ht="12.75" customHeight="1" x14ac:dyDescent="0.2">
      <c r="B35" s="155"/>
      <c r="C35" s="155"/>
      <c r="D35" s="155"/>
      <c r="E35" s="155"/>
      <c r="F35" s="155"/>
      <c r="G35" s="155"/>
      <c r="H35" s="155"/>
      <c r="I35" s="155"/>
      <c r="J35" s="155"/>
      <c r="K35" s="155"/>
      <c r="L35" s="155"/>
    </row>
    <row r="36" spans="2:17" ht="12.75" customHeight="1" x14ac:dyDescent="0.2">
      <c r="B36" s="155"/>
      <c r="C36" s="155"/>
      <c r="D36" s="155"/>
      <c r="E36" s="155"/>
      <c r="F36" s="155"/>
      <c r="G36" s="155"/>
      <c r="H36" s="155"/>
      <c r="I36" s="155"/>
      <c r="J36" s="155"/>
      <c r="K36" s="155"/>
      <c r="L36" s="155"/>
    </row>
    <row r="37" spans="2:17" x14ac:dyDescent="0.2">
      <c r="B37" s="155"/>
      <c r="C37" s="155"/>
      <c r="D37" s="155"/>
      <c r="E37" s="155"/>
      <c r="F37" s="155"/>
      <c r="G37" s="155"/>
      <c r="H37" s="155"/>
      <c r="I37" s="155"/>
      <c r="J37" s="155"/>
      <c r="K37" s="155"/>
      <c r="L37" s="155"/>
    </row>
    <row r="38" spans="2:17" ht="15.75" hidden="1" x14ac:dyDescent="0.25">
      <c r="B38" s="114"/>
      <c r="C38" s="114"/>
      <c r="D38" s="114"/>
      <c r="E38" s="114"/>
      <c r="F38" s="114"/>
      <c r="G38" s="114"/>
      <c r="H38" s="114"/>
      <c r="I38" s="114"/>
      <c r="J38" s="114"/>
      <c r="K38" s="114"/>
      <c r="L38" s="114"/>
    </row>
    <row r="39" spans="2:17" ht="15.75" x14ac:dyDescent="0.25">
      <c r="B39" s="114"/>
      <c r="C39" s="114"/>
      <c r="D39" s="114"/>
      <c r="E39" s="114"/>
      <c r="F39" s="114"/>
      <c r="G39" s="114"/>
      <c r="H39" s="114"/>
      <c r="I39" s="114"/>
      <c r="J39" s="114"/>
      <c r="K39" s="114"/>
      <c r="L39" s="114"/>
    </row>
    <row r="40" spans="2:17" ht="15.75" x14ac:dyDescent="0.25">
      <c r="B40" s="115" t="s">
        <v>76</v>
      </c>
      <c r="C40" s="110"/>
      <c r="D40" s="111"/>
      <c r="E40" s="111"/>
      <c r="F40" s="111"/>
      <c r="G40" s="111"/>
      <c r="H40" s="111"/>
      <c r="I40" s="111"/>
      <c r="J40" s="111"/>
      <c r="K40" s="111"/>
      <c r="L40" s="111"/>
    </row>
    <row r="41" spans="2:17" s="115" customFormat="1" ht="18.75" customHeight="1" x14ac:dyDescent="0.25">
      <c r="B41" s="110" t="s">
        <v>77</v>
      </c>
    </row>
    <row r="42" spans="2:17" s="110" customFormat="1" ht="18" customHeight="1" x14ac:dyDescent="0.25">
      <c r="B42" s="116"/>
      <c r="C42" s="156" t="s">
        <v>52</v>
      </c>
      <c r="D42" s="157"/>
      <c r="E42" s="157"/>
      <c r="I42" s="156" t="s">
        <v>53</v>
      </c>
      <c r="J42" s="157"/>
      <c r="K42" s="157"/>
      <c r="L42" s="157"/>
    </row>
    <row r="43" spans="2:17" ht="18" customHeight="1" x14ac:dyDescent="0.2">
      <c r="B43" s="154" t="s">
        <v>66</v>
      </c>
      <c r="C43" s="154"/>
      <c r="D43" s="154"/>
      <c r="E43" s="154"/>
      <c r="F43" s="154"/>
      <c r="G43" s="154"/>
      <c r="H43" s="154"/>
      <c r="I43" s="154"/>
      <c r="J43" s="154"/>
      <c r="K43" s="154"/>
      <c r="L43" s="154"/>
    </row>
    <row r="44" spans="2:17" ht="12.75" customHeight="1" x14ac:dyDescent="0.2">
      <c r="B44" s="154"/>
      <c r="C44" s="154"/>
      <c r="D44" s="154"/>
      <c r="E44" s="154"/>
      <c r="F44" s="154"/>
      <c r="G44" s="154"/>
      <c r="H44" s="154"/>
      <c r="I44" s="154"/>
      <c r="J44" s="154"/>
      <c r="K44" s="154"/>
      <c r="L44" s="154"/>
    </row>
    <row r="45" spans="2:17" ht="15.75" x14ac:dyDescent="0.25">
      <c r="B45" s="110" t="s">
        <v>67</v>
      </c>
      <c r="C45" s="110"/>
      <c r="D45" s="110"/>
      <c r="E45" s="117"/>
      <c r="F45" s="110"/>
      <c r="G45" s="110"/>
      <c r="H45" s="110"/>
      <c r="I45" s="110"/>
      <c r="J45" s="110"/>
      <c r="K45" s="110"/>
      <c r="L45" s="110"/>
      <c r="P45" s="118"/>
      <c r="Q45" s="118"/>
    </row>
    <row r="46" spans="2:17" ht="15.75" x14ac:dyDescent="0.25">
      <c r="B46" s="110" t="s">
        <v>78</v>
      </c>
      <c r="C46" s="110"/>
      <c r="D46" s="110"/>
      <c r="E46" s="117"/>
      <c r="F46" s="110"/>
      <c r="G46" s="110"/>
      <c r="H46" s="110"/>
      <c r="I46" s="110"/>
      <c r="J46" s="110"/>
      <c r="K46" s="110"/>
      <c r="L46" s="110"/>
      <c r="P46" s="118"/>
      <c r="Q46" s="118"/>
    </row>
    <row r="47" spans="2:17" ht="15.75" x14ac:dyDescent="0.25">
      <c r="B47" s="110" t="s">
        <v>54</v>
      </c>
      <c r="C47" s="110"/>
      <c r="D47" s="110"/>
      <c r="E47" s="110"/>
      <c r="F47" s="110"/>
      <c r="G47" s="110"/>
      <c r="H47" s="110"/>
      <c r="I47" s="110"/>
      <c r="J47" s="110"/>
      <c r="K47" s="110"/>
      <c r="L47" s="110"/>
      <c r="P47" s="118"/>
      <c r="Q47" s="118"/>
    </row>
    <row r="48" spans="2:17" ht="15.75" x14ac:dyDescent="0.25">
      <c r="B48" s="110" t="s">
        <v>29</v>
      </c>
      <c r="C48" s="110"/>
      <c r="D48" s="110"/>
      <c r="E48" s="110"/>
      <c r="F48" s="110"/>
      <c r="G48" s="110"/>
      <c r="H48" s="110"/>
      <c r="I48" s="110"/>
      <c r="J48" s="110"/>
      <c r="K48" s="110"/>
      <c r="L48" s="110"/>
      <c r="P48" s="136"/>
      <c r="Q48" s="136"/>
    </row>
    <row r="49" spans="2:12" ht="15.75" x14ac:dyDescent="0.25">
      <c r="B49" s="148" t="s">
        <v>79</v>
      </c>
      <c r="C49" s="149"/>
      <c r="D49" s="149"/>
      <c r="E49" s="110"/>
      <c r="F49" s="110"/>
      <c r="G49" s="150"/>
      <c r="H49" s="149"/>
      <c r="I49" s="149"/>
      <c r="J49" s="110"/>
      <c r="K49" s="110"/>
      <c r="L49" s="110"/>
    </row>
    <row r="50" spans="2:12" ht="15.75" x14ac:dyDescent="0.25">
      <c r="B50" s="119" t="s">
        <v>80</v>
      </c>
      <c r="C50" s="120"/>
      <c r="D50" s="109"/>
      <c r="E50" s="110"/>
      <c r="F50" s="110"/>
      <c r="G50" s="121"/>
      <c r="H50" s="109"/>
      <c r="I50" s="109"/>
      <c r="J50" s="110"/>
      <c r="K50" s="110"/>
      <c r="L50" s="110"/>
    </row>
    <row r="51" spans="2:12" ht="15.75" x14ac:dyDescent="0.25">
      <c r="B51" s="110"/>
      <c r="C51" s="111"/>
      <c r="D51" s="110"/>
      <c r="E51" s="110"/>
      <c r="F51" s="110"/>
      <c r="G51" s="110"/>
      <c r="H51" s="110"/>
      <c r="I51" s="110"/>
      <c r="J51" s="110"/>
      <c r="K51" s="110"/>
      <c r="L51" s="110"/>
    </row>
    <row r="52" spans="2:12" ht="15.75" x14ac:dyDescent="0.25">
      <c r="B52" s="115" t="s">
        <v>81</v>
      </c>
      <c r="C52" s="111"/>
      <c r="D52" s="110"/>
      <c r="E52" s="110"/>
      <c r="F52" s="110"/>
      <c r="G52" s="110"/>
      <c r="H52" s="110"/>
      <c r="I52" s="110"/>
      <c r="J52" s="110"/>
      <c r="K52" s="110"/>
      <c r="L52" s="110"/>
    </row>
    <row r="53" spans="2:12" ht="14.25" customHeight="1" x14ac:dyDescent="0.2">
      <c r="B53" s="151" t="s">
        <v>82</v>
      </c>
      <c r="C53" s="151"/>
      <c r="D53" s="151"/>
      <c r="E53" s="151"/>
      <c r="F53" s="151"/>
      <c r="G53" s="151"/>
      <c r="H53" s="151"/>
      <c r="I53" s="151"/>
      <c r="J53" s="151"/>
      <c r="K53" s="151"/>
      <c r="L53" s="151"/>
    </row>
    <row r="54" spans="2:12" ht="34.5" customHeight="1" x14ac:dyDescent="0.2">
      <c r="B54" s="151"/>
      <c r="C54" s="151"/>
      <c r="D54" s="151"/>
      <c r="E54" s="151"/>
      <c r="F54" s="151"/>
      <c r="G54" s="151"/>
      <c r="H54" s="151"/>
      <c r="I54" s="151"/>
      <c r="J54" s="151"/>
      <c r="K54" s="151"/>
      <c r="L54" s="151"/>
    </row>
    <row r="55" spans="2:12" x14ac:dyDescent="0.2">
      <c r="B55" s="152" t="s">
        <v>125</v>
      </c>
      <c r="C55" s="152"/>
      <c r="D55" s="152"/>
      <c r="E55" s="152"/>
      <c r="F55" s="152"/>
      <c r="G55" s="152"/>
      <c r="H55" s="152"/>
      <c r="I55" s="152"/>
      <c r="J55" s="152"/>
      <c r="K55" s="152"/>
      <c r="L55" s="152"/>
    </row>
    <row r="56" spans="2:12" ht="16.5" customHeight="1" x14ac:dyDescent="0.2">
      <c r="B56" s="152"/>
      <c r="C56" s="152"/>
      <c r="D56" s="152"/>
      <c r="E56" s="152"/>
      <c r="F56" s="152"/>
      <c r="G56" s="152"/>
      <c r="H56" s="152"/>
      <c r="I56" s="152"/>
      <c r="J56" s="152"/>
      <c r="K56" s="152"/>
      <c r="L56" s="152"/>
    </row>
  </sheetData>
  <sheetProtection algorithmName="SHA-512" hashValue="KEtNBgJMgvXCECpzRFYPGDA2+IhkET9R0C9NmV5661hMPkOyVbMOXcP8e56oDy2BWt3SuHDXbt8PHrMp789tcw==" saltValue="ytNqHO7VOeg82O3DvHnOOQ==" spinCount="100000" sheet="1" objects="1" scenarios="1"/>
  <mergeCells count="16">
    <mergeCell ref="B49:D49"/>
    <mergeCell ref="G49:I49"/>
    <mergeCell ref="B53:L54"/>
    <mergeCell ref="B55:L56"/>
    <mergeCell ref="B31:E31"/>
    <mergeCell ref="B33:L37"/>
    <mergeCell ref="C42:E42"/>
    <mergeCell ref="I42:L42"/>
    <mergeCell ref="B43:L44"/>
    <mergeCell ref="P48:Q48"/>
    <mergeCell ref="B5:I6"/>
    <mergeCell ref="N5:X6"/>
    <mergeCell ref="C8:D8"/>
    <mergeCell ref="E8:F8"/>
    <mergeCell ref="N8:N9"/>
    <mergeCell ref="B29:L30"/>
  </mergeCells>
  <hyperlinks>
    <hyperlink ref="B49" r:id="rId1"/>
    <hyperlink ref="C42" r:id="rId2"/>
    <hyperlink ref="I42" r:id="rId3"/>
  </hyperlinks>
  <printOptions horizontalCentered="1"/>
  <pageMargins left="0.75" right="0.75" top="1" bottom="1" header="0.5" footer="0.5"/>
  <pageSetup scale="73"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T15" sqref="T15"/>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50</v>
      </c>
      <c r="C2" s="7"/>
      <c r="D2" s="7"/>
      <c r="E2" s="7"/>
      <c r="F2" s="7"/>
      <c r="G2" s="7"/>
      <c r="H2" s="7"/>
      <c r="I2" s="7"/>
      <c r="J2" s="7"/>
      <c r="K2" s="7"/>
      <c r="L2" s="7"/>
      <c r="M2" s="38"/>
      <c r="N2" s="7"/>
      <c r="O2" s="7"/>
      <c r="P2" s="7"/>
      <c r="Q2" s="7"/>
    </row>
    <row r="4" spans="2:19" ht="13.5" thickBot="1" x14ac:dyDescent="0.25">
      <c r="B4" s="158" t="s">
        <v>39</v>
      </c>
      <c r="C4" s="158"/>
      <c r="D4" s="158"/>
      <c r="E4" s="158"/>
      <c r="F4" s="158"/>
      <c r="G4" s="158"/>
      <c r="H4" s="52">
        <v>42961</v>
      </c>
      <c r="J4" s="7"/>
      <c r="K4" s="7"/>
      <c r="L4" s="11" t="s">
        <v>15</v>
      </c>
      <c r="M4" s="11" t="s">
        <v>22</v>
      </c>
      <c r="N4" s="11" t="s">
        <v>8</v>
      </c>
      <c r="O4" s="11" t="s">
        <v>9</v>
      </c>
      <c r="P4" s="11" t="s">
        <v>8</v>
      </c>
      <c r="Q4" s="11" t="s">
        <v>9</v>
      </c>
    </row>
    <row r="5" spans="2:19" x14ac:dyDescent="0.2">
      <c r="B5" s="158" t="str">
        <f>"Number of head (number of head to match futures contract = "&amp;FIXED(L117/H6,0)&amp;")"</f>
        <v>Number of head (number of head to match futures contract = 91)</v>
      </c>
      <c r="C5" s="158"/>
      <c r="D5" s="158"/>
      <c r="E5" s="158"/>
      <c r="F5" s="158"/>
      <c r="G5" s="158"/>
      <c r="H5" s="53">
        <v>90</v>
      </c>
      <c r="J5" s="5" t="s">
        <v>19</v>
      </c>
      <c r="L5" s="54">
        <v>1</v>
      </c>
      <c r="M5" s="54">
        <v>90</v>
      </c>
      <c r="N5" s="54">
        <v>1</v>
      </c>
      <c r="O5" s="54">
        <v>1</v>
      </c>
      <c r="P5" s="54">
        <v>1</v>
      </c>
      <c r="Q5" s="54">
        <v>1</v>
      </c>
    </row>
    <row r="6" spans="2:19" x14ac:dyDescent="0.2">
      <c r="B6" s="158" t="str">
        <f>"Expected weight at time of sale, lbs/head -- "&amp;IF(H6&lt;L115,"(use weight 1 for LRP)","(use weight 2 for LRP)")</f>
        <v>Expected weight at time of sale, lbs/head -- (use weight 1 for LRP)</v>
      </c>
      <c r="C6" s="158"/>
      <c r="D6" s="158"/>
      <c r="E6" s="158"/>
      <c r="F6" s="158"/>
      <c r="G6" s="158"/>
      <c r="H6" s="53">
        <v>550</v>
      </c>
      <c r="J6" s="5" t="s">
        <v>20</v>
      </c>
      <c r="L6" s="9"/>
      <c r="M6" s="64">
        <v>147.41</v>
      </c>
      <c r="N6" s="64">
        <v>138</v>
      </c>
      <c r="O6" s="64">
        <v>146</v>
      </c>
      <c r="P6" s="64">
        <v>138</v>
      </c>
      <c r="Q6" s="64">
        <v>146</v>
      </c>
    </row>
    <row r="7" spans="2:19" ht="13.5" thickBot="1" x14ac:dyDescent="0.25">
      <c r="B7" s="158" t="s">
        <v>24</v>
      </c>
      <c r="C7" s="158"/>
      <c r="D7" s="158"/>
      <c r="E7" s="158"/>
      <c r="F7" s="158"/>
      <c r="G7" s="158"/>
      <c r="H7" s="8">
        <f>H5*H6</f>
        <v>49500</v>
      </c>
      <c r="J7" s="7" t="s">
        <v>21</v>
      </c>
      <c r="K7" s="7"/>
      <c r="L7" s="7"/>
      <c r="M7" s="42">
        <f>VLOOKUP(M6,B105:D117,3,1)</f>
        <v>4.4219999999999997</v>
      </c>
      <c r="N7" s="14">
        <f>VLOOKUP(N6,B22:D34,2,1)</f>
        <v>4.2249999999999996</v>
      </c>
      <c r="O7" s="14">
        <f>VLOOKUP(O6,B22:D34,3,1)</f>
        <v>3.875</v>
      </c>
      <c r="P7" s="14">
        <f>VLOOKUP(P6,B22:D34,2,1)</f>
        <v>4.2249999999999996</v>
      </c>
      <c r="Q7" s="14">
        <f>IF(Q6=0,0,VLOOKUP(Q6,B22:D34,3,1))</f>
        <v>3.875</v>
      </c>
    </row>
    <row r="8" spans="2:19" x14ac:dyDescent="0.2">
      <c r="B8" s="158" t="s">
        <v>11</v>
      </c>
      <c r="C8" s="158"/>
      <c r="D8" s="158"/>
      <c r="E8" s="158"/>
      <c r="F8" s="158"/>
      <c r="G8" s="158"/>
      <c r="H8" s="52">
        <v>43019</v>
      </c>
      <c r="M8" s="10" t="str">
        <f>IF(M5&gt;H5,"Cannot buy LRP for more cattle than owned!","")</f>
        <v/>
      </c>
      <c r="O8" s="84" t="s">
        <v>65</v>
      </c>
    </row>
    <row r="9" spans="2:19" x14ac:dyDescent="0.2">
      <c r="B9" s="158" t="s">
        <v>41</v>
      </c>
      <c r="C9" s="158"/>
      <c r="D9" s="158"/>
      <c r="E9" s="158"/>
      <c r="F9" s="158"/>
      <c r="G9" s="158"/>
      <c r="H9" s="53" t="s">
        <v>42</v>
      </c>
      <c r="K9" s="77" t="s">
        <v>55</v>
      </c>
      <c r="L9" s="77"/>
      <c r="M9" s="77"/>
      <c r="N9" s="77"/>
      <c r="O9" s="77"/>
      <c r="P9" s="77"/>
    </row>
    <row r="10" spans="2:19" x14ac:dyDescent="0.2">
      <c r="J10" s="16" t="s">
        <v>15</v>
      </c>
      <c r="K10" s="16"/>
      <c r="L10" s="16"/>
      <c r="M10" s="16"/>
      <c r="N10" s="16"/>
      <c r="O10" s="16" t="s">
        <v>1</v>
      </c>
      <c r="P10" s="16"/>
    </row>
    <row r="11" spans="2:19" ht="13.5" thickBot="1" x14ac:dyDescent="0.25">
      <c r="B11" s="158" t="s">
        <v>26</v>
      </c>
      <c r="C11" s="158"/>
      <c r="D11" s="158"/>
      <c r="E11" s="158"/>
      <c r="F11" s="158"/>
      <c r="G11" s="158"/>
      <c r="H11" s="53" t="s">
        <v>124</v>
      </c>
      <c r="J11" s="17" t="s">
        <v>10</v>
      </c>
      <c r="K11" s="17" t="s">
        <v>0</v>
      </c>
      <c r="L11" s="17" t="s">
        <v>1</v>
      </c>
      <c r="M11" s="17" t="s">
        <v>22</v>
      </c>
      <c r="N11" s="17" t="s">
        <v>8</v>
      </c>
      <c r="O11" s="17" t="s">
        <v>35</v>
      </c>
      <c r="P11" s="17" t="s">
        <v>23</v>
      </c>
      <c r="Q11" s="7"/>
    </row>
    <row r="12" spans="2:19" x14ac:dyDescent="0.2">
      <c r="B12" s="158" t="s">
        <v>3</v>
      </c>
      <c r="C12" s="158"/>
      <c r="D12" s="158"/>
      <c r="E12" s="158"/>
      <c r="F12" s="158"/>
      <c r="G12" s="158"/>
      <c r="H12" s="55">
        <v>60</v>
      </c>
      <c r="J12" s="65">
        <v>100</v>
      </c>
      <c r="K12" s="66">
        <f t="shared" ref="K12:K20" si="0">J12+H$15</f>
        <v>110.23</v>
      </c>
      <c r="L12" s="67">
        <f t="shared" ref="L12:L20" si="1">IF(L$5=0,"n/a",(K12/100*H$7+((H$14-J12)*L$117/100-H$12)*L$5)/H$7*100)</f>
        <v>152.12898989898991</v>
      </c>
      <c r="M12" s="68">
        <f>IF(OR(M$5=0,M$5&gt;H$5),"n/a",(K12/100*H$7-M$7*H$6/100*M$5+IF(M$6&gt;J12*L$113,(M$6-J12*L$113)*H$6/100*M$5,0))/H$7*100)</f>
        <v>143.21799999999999</v>
      </c>
      <c r="N12" s="67">
        <f>IF(N$5=0,"n/a",(K12/100*H$7-(N$7*L$117/100+H$13)*N$5+IF(N$6&gt;J12,((N$6-J12)*L$117/100-H$13)*N$5))/H$7*100)</f>
        <v>144.2249494949495</v>
      </c>
      <c r="O12" s="67">
        <f t="shared" ref="O12:O20" si="2">IF(O$5=0,"n/a",(K12/100*H$7+((H$14-J12)*L$117/100-H$12)*L$5-(O$7*L$117/100+H$13)*O$5+IF(J12&gt;O$6,((J12-O$6)*L$117/100-H$13)*O$5,0))/H$7*100)</f>
        <v>148.15424242424245</v>
      </c>
      <c r="P12" s="67">
        <f>IF(SUM(P$5:Q$5)=0,"n/a",(K12/100*H$7-(P$7*L$117/100+H$13)*P$5+(Q$7*L$117/100-H$13)*Q$5+IF(P$6&gt;J12,((P$6-J12)*L$117/100-H$13)*P$5)-IF(Q$6&lt;J12,((J12-Q$6)*L$117/100+H$13)*Q$5))/H$7*100)</f>
        <v>148.07848484848486</v>
      </c>
      <c r="Q12" s="31">
        <f>MAX(K12:P12)</f>
        <v>152.12898989898991</v>
      </c>
    </row>
    <row r="13" spans="2:19" x14ac:dyDescent="0.2">
      <c r="B13" s="158" t="s">
        <v>4</v>
      </c>
      <c r="C13" s="158"/>
      <c r="D13" s="158"/>
      <c r="E13" s="158"/>
      <c r="F13" s="158"/>
      <c r="G13" s="158"/>
      <c r="H13" s="55">
        <v>30</v>
      </c>
      <c r="J13" s="69">
        <f t="shared" ref="J13:J20" si="3">+J12+J$21</f>
        <v>110</v>
      </c>
      <c r="K13" s="69">
        <f t="shared" si="0"/>
        <v>120.23</v>
      </c>
      <c r="L13" s="68">
        <f t="shared" si="1"/>
        <v>152.02797979797981</v>
      </c>
      <c r="M13" s="68">
        <f t="shared" ref="M13:M20" si="4">IF(OR(M$5=0,M$5&gt;H$5),"n/a",(K13/100*H$7-M$7*H$6/100*M$5+IF(M$6&gt;J13*L$113,(M$6-J13*L$113)*H$6/100*M$5,0))/H$7*100)</f>
        <v>142.21799999999999</v>
      </c>
      <c r="N13" s="68">
        <f t="shared" ref="N13:N20" si="5">IF(N$5=0,"n/a",(K13/100*H$7-(N$7*L$117/100+H$13)*N$5+IF(N$6&gt;J13,((N$6-J13)*L$117/100-H$13)*N$5))/H$7*100)</f>
        <v>144.12393939393942</v>
      </c>
      <c r="O13" s="68">
        <f t="shared" si="2"/>
        <v>148.05323232323232</v>
      </c>
      <c r="P13" s="68">
        <f t="shared" ref="P13:P20" si="6">IF(SUM(P$5:Q$5)=0,"n/a",(K13/100*H$7-(P$7*L$117/100+H$13)*P$5+(Q$7*L$117/100-H$13)*Q$5+IF(P$6&gt;J13,((P$6-J13)*L$117/100-H$13)*P$5)-IF(Q$6&lt;J13,((J13-Q$6)*L$117/100+H$13)*Q$5))/H$7*100)</f>
        <v>147.97747474747476</v>
      </c>
      <c r="Q13" s="37">
        <f t="shared" ref="Q13:Q20" si="7">MAX(K13:P13)</f>
        <v>152.02797979797981</v>
      </c>
    </row>
    <row r="14" spans="2:19" x14ac:dyDescent="0.2">
      <c r="B14" s="158" t="str">
        <f>"Futures price -- "&amp;H11&amp;" CME feeder cattle contract, $/cwt*"</f>
        <v>Futures price -- Oct CME feeder cattle contract, $/cwt*</v>
      </c>
      <c r="C14" s="158"/>
      <c r="D14" s="158"/>
      <c r="E14" s="158"/>
      <c r="F14" s="158"/>
      <c r="G14" s="158"/>
      <c r="H14" s="56">
        <v>141.6</v>
      </c>
      <c r="J14" s="69">
        <f t="shared" si="3"/>
        <v>120</v>
      </c>
      <c r="K14" s="69">
        <f t="shared" si="0"/>
        <v>130.22999999999999</v>
      </c>
      <c r="L14" s="68">
        <f t="shared" si="1"/>
        <v>151.92696969696968</v>
      </c>
      <c r="M14" s="68">
        <f t="shared" si="4"/>
        <v>141.21799999999999</v>
      </c>
      <c r="N14" s="68">
        <f t="shared" si="5"/>
        <v>144.02292929292929</v>
      </c>
      <c r="O14" s="68">
        <f t="shared" si="2"/>
        <v>147.95222222222219</v>
      </c>
      <c r="P14" s="68">
        <f t="shared" si="6"/>
        <v>147.87646464646463</v>
      </c>
      <c r="Q14" s="37">
        <f t="shared" si="7"/>
        <v>151.92696969696968</v>
      </c>
    </row>
    <row r="15" spans="2:19" x14ac:dyDescent="0.2">
      <c r="B15" s="158" t="str">
        <f>"Expected basis (cash - "&amp;H11&amp;" CME futures), $/cwt#"</f>
        <v>Expected basis (cash - Oct CME futures), $/cwt#</v>
      </c>
      <c r="C15" s="158"/>
      <c r="D15" s="158"/>
      <c r="E15" s="158"/>
      <c r="F15" s="158"/>
      <c r="G15" s="158"/>
      <c r="H15" s="55">
        <v>10.23</v>
      </c>
      <c r="J15" s="69">
        <f t="shared" si="3"/>
        <v>130</v>
      </c>
      <c r="K15" s="69">
        <f t="shared" si="0"/>
        <v>140.22999999999999</v>
      </c>
      <c r="L15" s="68">
        <f t="shared" si="1"/>
        <v>151.82595959595957</v>
      </c>
      <c r="M15" s="68">
        <f t="shared" si="4"/>
        <v>140.21799999999999</v>
      </c>
      <c r="N15" s="68">
        <f t="shared" si="5"/>
        <v>143.92191919191916</v>
      </c>
      <c r="O15" s="68">
        <f t="shared" si="2"/>
        <v>147.85121212121211</v>
      </c>
      <c r="P15" s="68">
        <f t="shared" si="6"/>
        <v>147.77545454545452</v>
      </c>
      <c r="Q15" s="37">
        <f t="shared" si="7"/>
        <v>151.82595959595957</v>
      </c>
      <c r="S15" s="12"/>
    </row>
    <row r="16" spans="2:19" x14ac:dyDescent="0.2">
      <c r="B16" s="158" t="s">
        <v>32</v>
      </c>
      <c r="C16" s="158"/>
      <c r="D16" s="158"/>
      <c r="E16" s="158"/>
      <c r="F16" s="158"/>
      <c r="G16" s="158"/>
      <c r="H16" s="56">
        <v>155.65899999999999</v>
      </c>
      <c r="J16" s="69">
        <f t="shared" si="3"/>
        <v>140</v>
      </c>
      <c r="K16" s="69">
        <f t="shared" si="0"/>
        <v>150.22999999999999</v>
      </c>
      <c r="L16" s="68">
        <f t="shared" si="1"/>
        <v>151.72494949494947</v>
      </c>
      <c r="M16" s="68">
        <f t="shared" si="4"/>
        <v>145.80799999999999</v>
      </c>
      <c r="N16" s="68">
        <f t="shared" si="5"/>
        <v>145.90171717171717</v>
      </c>
      <c r="O16" s="68">
        <f t="shared" si="2"/>
        <v>147.75020202020198</v>
      </c>
      <c r="P16" s="68">
        <f t="shared" si="6"/>
        <v>149.7552525252525</v>
      </c>
      <c r="Q16" s="37">
        <f t="shared" si="7"/>
        <v>151.72494949494947</v>
      </c>
      <c r="S16" s="12"/>
    </row>
    <row r="17" spans="2:17" x14ac:dyDescent="0.2">
      <c r="B17" s="158" t="s">
        <v>25</v>
      </c>
      <c r="C17" s="158"/>
      <c r="D17" s="158"/>
      <c r="E17" s="158"/>
      <c r="F17" s="158"/>
      <c r="G17" s="158"/>
      <c r="H17" s="57">
        <v>43049</v>
      </c>
      <c r="J17" s="69">
        <f t="shared" si="3"/>
        <v>150</v>
      </c>
      <c r="K17" s="69">
        <f t="shared" si="0"/>
        <v>160.22999999999999</v>
      </c>
      <c r="L17" s="68">
        <f t="shared" si="1"/>
        <v>151.62393939393937</v>
      </c>
      <c r="M17" s="68">
        <f t="shared" si="4"/>
        <v>155.80799999999999</v>
      </c>
      <c r="N17" s="68">
        <f t="shared" si="5"/>
        <v>155.90171717171714</v>
      </c>
      <c r="O17" s="68">
        <f t="shared" si="2"/>
        <v>151.62898989898989</v>
      </c>
      <c r="P17" s="68">
        <f t="shared" si="6"/>
        <v>155.65424242424243</v>
      </c>
      <c r="Q17" s="37">
        <f t="shared" si="7"/>
        <v>160.22999999999999</v>
      </c>
    </row>
    <row r="18" spans="2:17" x14ac:dyDescent="0.2">
      <c r="F18" s="13"/>
      <c r="G18" s="13"/>
      <c r="H18" s="13"/>
      <c r="J18" s="69">
        <f t="shared" si="3"/>
        <v>160</v>
      </c>
      <c r="K18" s="69">
        <f t="shared" si="0"/>
        <v>170.23</v>
      </c>
      <c r="L18" s="68">
        <f t="shared" si="1"/>
        <v>151.52292929292926</v>
      </c>
      <c r="M18" s="68">
        <f t="shared" si="4"/>
        <v>165.80799999999996</v>
      </c>
      <c r="N18" s="68">
        <f t="shared" si="5"/>
        <v>165.90171717171717</v>
      </c>
      <c r="O18" s="68">
        <f t="shared" si="2"/>
        <v>161.62898989898989</v>
      </c>
      <c r="P18" s="68">
        <f t="shared" si="6"/>
        <v>155.55323232323229</v>
      </c>
      <c r="Q18" s="37">
        <f t="shared" si="7"/>
        <v>170.23</v>
      </c>
    </row>
    <row r="19" spans="2:17" x14ac:dyDescent="0.2">
      <c r="B19" s="159" t="s">
        <v>6</v>
      </c>
      <c r="C19" s="159"/>
      <c r="D19" s="159"/>
      <c r="F19" s="159" t="s">
        <v>14</v>
      </c>
      <c r="G19" s="159"/>
      <c r="H19" s="159"/>
      <c r="J19" s="69">
        <f t="shared" si="3"/>
        <v>170</v>
      </c>
      <c r="K19" s="69">
        <f t="shared" si="0"/>
        <v>180.23</v>
      </c>
      <c r="L19" s="68">
        <f t="shared" si="1"/>
        <v>151.42191919191919</v>
      </c>
      <c r="M19" s="68">
        <f t="shared" si="4"/>
        <v>175.80799999999999</v>
      </c>
      <c r="N19" s="68">
        <f t="shared" si="5"/>
        <v>175.90171717171717</v>
      </c>
      <c r="O19" s="68">
        <f t="shared" si="2"/>
        <v>171.62898989898989</v>
      </c>
      <c r="P19" s="68">
        <f t="shared" si="6"/>
        <v>155.45222222222222</v>
      </c>
      <c r="Q19" s="37">
        <f t="shared" si="7"/>
        <v>180.23</v>
      </c>
    </row>
    <row r="20" spans="2:17" ht="13.5" thickBot="1" x14ac:dyDescent="0.25">
      <c r="B20" s="16" t="s">
        <v>7</v>
      </c>
      <c r="C20" s="16" t="s">
        <v>8</v>
      </c>
      <c r="D20" s="16" t="s">
        <v>9</v>
      </c>
      <c r="F20" s="13" t="s">
        <v>16</v>
      </c>
      <c r="G20" s="13"/>
      <c r="H20" s="16" t="s">
        <v>31</v>
      </c>
      <c r="J20" s="70">
        <f t="shared" si="3"/>
        <v>180</v>
      </c>
      <c r="K20" s="70">
        <f t="shared" si="0"/>
        <v>190.23</v>
      </c>
      <c r="L20" s="71">
        <f t="shared" si="1"/>
        <v>151.32090909090908</v>
      </c>
      <c r="M20" s="72">
        <f t="shared" si="4"/>
        <v>185.80799999999996</v>
      </c>
      <c r="N20" s="71">
        <f t="shared" si="5"/>
        <v>185.90171717171714</v>
      </c>
      <c r="O20" s="71">
        <f t="shared" si="2"/>
        <v>181.62898989898989</v>
      </c>
      <c r="P20" s="71">
        <f t="shared" si="6"/>
        <v>155.35121212121211</v>
      </c>
      <c r="Q20" s="32">
        <f t="shared" si="7"/>
        <v>190.23</v>
      </c>
    </row>
    <row r="21" spans="2:17" ht="13.5" thickBot="1" x14ac:dyDescent="0.25">
      <c r="B21" s="17" t="s">
        <v>17</v>
      </c>
      <c r="C21" s="17" t="s">
        <v>17</v>
      </c>
      <c r="D21" s="17" t="s">
        <v>17</v>
      </c>
      <c r="E21" s="7"/>
      <c r="F21" s="17" t="s">
        <v>17</v>
      </c>
      <c r="G21" s="20" t="s">
        <v>18</v>
      </c>
      <c r="H21" s="17" t="s">
        <v>17</v>
      </c>
      <c r="J21" s="65">
        <v>10</v>
      </c>
      <c r="K21" s="5" t="s">
        <v>2</v>
      </c>
      <c r="N21" s="12"/>
      <c r="O21" s="30"/>
      <c r="P21" s="30"/>
      <c r="Q21" s="33" t="s">
        <v>36</v>
      </c>
    </row>
    <row r="22" spans="2:17" x14ac:dyDescent="0.2">
      <c r="B22" s="18">
        <f t="shared" ref="B22:B27" si="8">B23-2</f>
        <v>130</v>
      </c>
      <c r="C22" s="58"/>
      <c r="D22" s="58"/>
      <c r="F22" s="61">
        <v>154.01</v>
      </c>
      <c r="G22" s="21">
        <f>F22/H$16</f>
        <v>0.98940633050450022</v>
      </c>
      <c r="H22" s="61">
        <v>7.4720000000000004</v>
      </c>
    </row>
    <row r="23" spans="2:17" ht="13.5" thickBot="1" x14ac:dyDescent="0.25">
      <c r="B23" s="34">
        <f t="shared" si="8"/>
        <v>132</v>
      </c>
      <c r="C23" s="62"/>
      <c r="D23" s="62"/>
      <c r="F23" s="35">
        <f>ROUND(F22-M$113,3)</f>
        <v>151.81</v>
      </c>
      <c r="G23" s="36">
        <f t="shared" ref="G23:G34" si="9">F23/H$16</f>
        <v>0.97527287211147451</v>
      </c>
      <c r="H23" s="62"/>
      <c r="K23" s="50" t="s">
        <v>0</v>
      </c>
      <c r="L23" s="50" t="s">
        <v>51</v>
      </c>
      <c r="M23" s="51" t="str">
        <f>"LRP, ($"&amp;FIXED(M6,0)&amp;")"</f>
        <v>LRP, ($147)</v>
      </c>
      <c r="N23" s="51" t="str">
        <f>"Put, ($"&amp;FIXED(N6,0)&amp;")"</f>
        <v>Put, ($138)</v>
      </c>
      <c r="O23" s="51" t="str">
        <f>"Hedge &amp; Call, ($"&amp;FIXED(O6,0)&amp;")"</f>
        <v>Hedge &amp; Call, ($146)</v>
      </c>
      <c r="P23" s="51" t="str">
        <f>"Put &amp; Call, ($"&amp;FIXED(P6,0)&amp;"/$"&amp;FIXED(Q6,0)&amp;")"</f>
        <v>Put &amp; Call, ($138/$146)</v>
      </c>
      <c r="Q23" s="51"/>
    </row>
    <row r="24" spans="2:17" x14ac:dyDescent="0.2">
      <c r="B24" s="34">
        <f t="shared" si="8"/>
        <v>134</v>
      </c>
      <c r="C24" s="62"/>
      <c r="D24" s="62"/>
      <c r="F24" s="35">
        <f t="shared" ref="F24:F33" si="10">ROUND(F23-M$113,3)</f>
        <v>149.61000000000001</v>
      </c>
      <c r="G24" s="36">
        <f t="shared" si="9"/>
        <v>0.9611394137184488</v>
      </c>
      <c r="H24" s="62"/>
    </row>
    <row r="25" spans="2:17" x14ac:dyDescent="0.2">
      <c r="B25" s="34">
        <f t="shared" si="8"/>
        <v>136</v>
      </c>
      <c r="C25" s="62"/>
      <c r="D25" s="62"/>
      <c r="F25" s="35">
        <f t="shared" si="10"/>
        <v>147.41</v>
      </c>
      <c r="G25" s="36">
        <f t="shared" si="9"/>
        <v>0.94700595532542287</v>
      </c>
      <c r="H25" s="62">
        <v>4.4219999999999997</v>
      </c>
    </row>
    <row r="26" spans="2:17" x14ac:dyDescent="0.2">
      <c r="B26" s="34">
        <f t="shared" si="8"/>
        <v>138</v>
      </c>
      <c r="C26" s="62">
        <v>4.2249999999999996</v>
      </c>
      <c r="D26" s="62">
        <v>7.8250000000000002</v>
      </c>
      <c r="F26" s="35">
        <f t="shared" si="10"/>
        <v>145.21</v>
      </c>
      <c r="G26" s="36">
        <f t="shared" si="9"/>
        <v>0.93287249693239715</v>
      </c>
      <c r="H26" s="62">
        <v>3.6280000000000001</v>
      </c>
    </row>
    <row r="27" spans="2:17" x14ac:dyDescent="0.2">
      <c r="B27" s="34">
        <f t="shared" si="8"/>
        <v>140</v>
      </c>
      <c r="C27" s="62">
        <v>5.0750000000000002</v>
      </c>
      <c r="D27" s="62">
        <v>6.6749999999999998</v>
      </c>
      <c r="F27" s="35">
        <f t="shared" si="10"/>
        <v>143.01</v>
      </c>
      <c r="G27" s="36">
        <f t="shared" si="9"/>
        <v>0.91873903853937133</v>
      </c>
      <c r="H27" s="62"/>
    </row>
    <row r="28" spans="2:17" x14ac:dyDescent="0.2">
      <c r="B28" s="34">
        <f>EVEN(ROUND(H14,0))</f>
        <v>142</v>
      </c>
      <c r="C28" s="62">
        <v>6.05</v>
      </c>
      <c r="D28" s="62">
        <v>5.65</v>
      </c>
      <c r="F28" s="35">
        <f t="shared" si="10"/>
        <v>140.81</v>
      </c>
      <c r="G28" s="36">
        <f t="shared" si="9"/>
        <v>0.90460558014634562</v>
      </c>
      <c r="H28" s="62"/>
    </row>
    <row r="29" spans="2:17" x14ac:dyDescent="0.2">
      <c r="B29" s="34">
        <f t="shared" ref="B29:B34" si="11">B28+2</f>
        <v>144</v>
      </c>
      <c r="C29" s="62">
        <v>7.125</v>
      </c>
      <c r="D29" s="62">
        <v>4.7249999999999996</v>
      </c>
      <c r="F29" s="35">
        <f t="shared" si="10"/>
        <v>138.61000000000001</v>
      </c>
      <c r="G29" s="36">
        <f t="shared" si="9"/>
        <v>0.89047212175331991</v>
      </c>
      <c r="H29" s="62"/>
    </row>
    <row r="30" spans="2:17" x14ac:dyDescent="0.2">
      <c r="B30" s="34">
        <f t="shared" si="11"/>
        <v>146</v>
      </c>
      <c r="C30" s="62">
        <v>8.2750000000000004</v>
      </c>
      <c r="D30" s="62">
        <v>3.875</v>
      </c>
      <c r="F30" s="35">
        <f t="shared" si="10"/>
        <v>136.41</v>
      </c>
      <c r="G30" s="36">
        <f t="shared" si="9"/>
        <v>0.87633866336029398</v>
      </c>
      <c r="H30" s="62">
        <v>1.5109999999999999</v>
      </c>
    </row>
    <row r="31" spans="2:17" x14ac:dyDescent="0.2">
      <c r="B31" s="34">
        <f t="shared" si="11"/>
        <v>148</v>
      </c>
      <c r="C31" s="62"/>
      <c r="D31" s="62"/>
      <c r="F31" s="35">
        <f t="shared" si="10"/>
        <v>134.21</v>
      </c>
      <c r="G31" s="36">
        <f t="shared" si="9"/>
        <v>0.86220520496726827</v>
      </c>
      <c r="H31" s="62"/>
    </row>
    <row r="32" spans="2:17" x14ac:dyDescent="0.2">
      <c r="B32" s="34">
        <f t="shared" si="11"/>
        <v>150</v>
      </c>
      <c r="C32" s="62"/>
      <c r="D32" s="62"/>
      <c r="F32" s="35">
        <f t="shared" si="10"/>
        <v>132.01</v>
      </c>
      <c r="G32" s="36">
        <f t="shared" si="9"/>
        <v>0.84807174657424245</v>
      </c>
      <c r="H32" s="62"/>
    </row>
    <row r="33" spans="2:17" x14ac:dyDescent="0.2">
      <c r="B33" s="34">
        <f t="shared" si="11"/>
        <v>152</v>
      </c>
      <c r="C33" s="59"/>
      <c r="D33" s="59"/>
      <c r="F33" s="35">
        <f t="shared" si="10"/>
        <v>129.81</v>
      </c>
      <c r="G33" s="36">
        <f t="shared" si="9"/>
        <v>0.83393828818121674</v>
      </c>
      <c r="H33" s="62"/>
    </row>
    <row r="34" spans="2:17" ht="13.5" thickBot="1" x14ac:dyDescent="0.25">
      <c r="B34" s="19">
        <f t="shared" si="11"/>
        <v>154</v>
      </c>
      <c r="C34" s="60"/>
      <c r="D34" s="60"/>
      <c r="E34" s="7"/>
      <c r="F34" s="83">
        <f>ROUND(F33-M$113,3)</f>
        <v>127.61</v>
      </c>
      <c r="G34" s="22">
        <f t="shared" si="9"/>
        <v>0.81980482978819091</v>
      </c>
      <c r="H34" s="63"/>
    </row>
    <row r="35" spans="2:17" ht="13.5" thickBot="1" x14ac:dyDescent="0.25"/>
    <row r="36" spans="2:17" x14ac:dyDescent="0.2">
      <c r="B36" s="23" t="s">
        <v>40</v>
      </c>
      <c r="C36" s="24"/>
      <c r="D36" s="24"/>
      <c r="E36" s="24"/>
      <c r="F36" s="24"/>
      <c r="G36" s="24"/>
      <c r="H36" s="122"/>
    </row>
    <row r="37" spans="2:17" x14ac:dyDescent="0.2">
      <c r="B37" s="160" t="s">
        <v>86</v>
      </c>
      <c r="C37" s="161"/>
      <c r="D37" s="161"/>
      <c r="E37" s="161"/>
      <c r="F37" s="161"/>
      <c r="G37" s="26"/>
      <c r="H37" s="123"/>
    </row>
    <row r="38" spans="2:17" x14ac:dyDescent="0.2">
      <c r="B38" s="160" t="s">
        <v>85</v>
      </c>
      <c r="C38" s="161"/>
      <c r="D38" s="161"/>
      <c r="E38" s="125"/>
      <c r="F38" s="26"/>
      <c r="G38" s="26"/>
      <c r="H38" s="123"/>
    </row>
    <row r="39" spans="2:17" x14ac:dyDescent="0.2">
      <c r="B39" s="25" t="s">
        <v>34</v>
      </c>
      <c r="C39" s="26"/>
      <c r="D39" s="26"/>
      <c r="E39" s="26"/>
      <c r="F39" s="26"/>
      <c r="G39" s="26"/>
      <c r="H39" s="123"/>
    </row>
    <row r="40" spans="2:17" x14ac:dyDescent="0.2">
      <c r="B40" s="164" t="s">
        <v>84</v>
      </c>
      <c r="C40" s="165"/>
      <c r="D40" s="165"/>
      <c r="E40" s="165"/>
      <c r="F40" s="165"/>
      <c r="G40" s="165"/>
      <c r="H40" s="166"/>
    </row>
    <row r="41" spans="2:17" x14ac:dyDescent="0.2">
      <c r="B41" s="27" t="s">
        <v>33</v>
      </c>
      <c r="C41" s="26"/>
      <c r="D41" s="26"/>
      <c r="E41" s="26"/>
      <c r="F41" s="26"/>
      <c r="G41" s="26"/>
      <c r="H41" s="123"/>
    </row>
    <row r="42" spans="2:17" ht="13.5" thickBot="1" x14ac:dyDescent="0.25">
      <c r="B42" s="162" t="s">
        <v>83</v>
      </c>
      <c r="C42" s="163"/>
      <c r="D42" s="163"/>
      <c r="E42" s="163"/>
      <c r="F42" s="163"/>
      <c r="G42" s="28"/>
      <c r="H42" s="124"/>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66</v>
      </c>
      <c r="G45" s="74" t="s">
        <v>68</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48</v>
      </c>
      <c r="C101" s="45"/>
      <c r="D101" s="45"/>
      <c r="E101" s="45"/>
      <c r="F101" s="45"/>
      <c r="G101" s="45"/>
      <c r="H101" s="45"/>
      <c r="I101" s="45"/>
      <c r="J101" s="45"/>
      <c r="K101" s="45"/>
      <c r="L101" s="45"/>
      <c r="M101" s="45"/>
      <c r="N101" s="45"/>
    </row>
    <row r="103" spans="2:14" x14ac:dyDescent="0.2">
      <c r="B103" s="13" t="s">
        <v>37</v>
      </c>
      <c r="C103" s="13"/>
      <c r="D103" s="16" t="s">
        <v>31</v>
      </c>
      <c r="L103" s="78" t="s">
        <v>62</v>
      </c>
      <c r="M103" s="78" t="s">
        <v>62</v>
      </c>
    </row>
    <row r="104" spans="2:14" ht="13.5" thickBot="1" x14ac:dyDescent="0.25">
      <c r="B104" s="17" t="s">
        <v>17</v>
      </c>
      <c r="C104" s="20" t="s">
        <v>18</v>
      </c>
      <c r="D104" s="17" t="s">
        <v>17</v>
      </c>
      <c r="F104" s="7" t="s">
        <v>41</v>
      </c>
      <c r="G104" s="7"/>
      <c r="H104" s="17" t="s">
        <v>59</v>
      </c>
      <c r="I104" s="7"/>
      <c r="J104" s="17" t="s">
        <v>60</v>
      </c>
      <c r="K104" s="17" t="s">
        <v>61</v>
      </c>
      <c r="L104" s="17" t="s">
        <v>63</v>
      </c>
      <c r="M104" s="17" t="s">
        <v>64</v>
      </c>
      <c r="N104" s="7"/>
    </row>
    <row r="105" spans="2:14" x14ac:dyDescent="0.2">
      <c r="B105" s="9">
        <f>F34</f>
        <v>127.61</v>
      </c>
      <c r="C105" s="40">
        <f t="shared" ref="C105:C117" si="12">B105/H$16</f>
        <v>0.81980482978819091</v>
      </c>
      <c r="D105" s="39" t="str">
        <f>IF(H34=0,"n/a",H34)</f>
        <v>n/a</v>
      </c>
      <c r="F105" s="5" t="s">
        <v>42</v>
      </c>
      <c r="G105" s="5" t="s">
        <v>56</v>
      </c>
      <c r="H105" s="16">
        <f t="shared" ref="H105:H112" si="13">IF(H$9=F105,1,0)</f>
        <v>1</v>
      </c>
      <c r="J105" s="16">
        <f>IF(H$6&lt;L$115,1,0)</f>
        <v>1</v>
      </c>
      <c r="K105" s="16">
        <f>H105*J105</f>
        <v>1</v>
      </c>
      <c r="L105" s="48">
        <v>1.1000000000000001</v>
      </c>
      <c r="M105" s="48">
        <v>2.2000000000000002</v>
      </c>
      <c r="N105" s="47"/>
    </row>
    <row r="106" spans="2:14" x14ac:dyDescent="0.2">
      <c r="B106" s="9">
        <f>F33</f>
        <v>129.81</v>
      </c>
      <c r="C106" s="40">
        <f t="shared" si="12"/>
        <v>0.83393828818121674</v>
      </c>
      <c r="D106" s="39" t="str">
        <f>IF(H33=0,"n/a",H33)</f>
        <v>n/a</v>
      </c>
      <c r="F106" s="5" t="s">
        <v>42</v>
      </c>
      <c r="G106" s="5" t="s">
        <v>57</v>
      </c>
      <c r="H106" s="16">
        <f t="shared" si="13"/>
        <v>1</v>
      </c>
      <c r="J106" s="16">
        <f>IF(H$6&gt;=L$115,1,0)</f>
        <v>0</v>
      </c>
      <c r="K106" s="16">
        <f t="shared" ref="K106:K112" si="14">H106*J106</f>
        <v>0</v>
      </c>
      <c r="L106" s="48">
        <v>1</v>
      </c>
      <c r="M106" s="48">
        <v>2</v>
      </c>
    </row>
    <row r="107" spans="2:14" x14ac:dyDescent="0.2">
      <c r="B107" s="9">
        <f>F32</f>
        <v>132.01</v>
      </c>
      <c r="C107" s="40">
        <f t="shared" si="12"/>
        <v>0.84807174657424245</v>
      </c>
      <c r="D107" s="39" t="str">
        <f>IF(H32=0,"n/a",H32)</f>
        <v>n/a</v>
      </c>
      <c r="F107" s="5" t="s">
        <v>43</v>
      </c>
      <c r="G107" s="5" t="s">
        <v>56</v>
      </c>
      <c r="H107" s="16">
        <f t="shared" si="13"/>
        <v>0</v>
      </c>
      <c r="J107" s="16">
        <f>IF(H$6&lt;L$115,1,0)</f>
        <v>1</v>
      </c>
      <c r="K107" s="16">
        <f t="shared" si="14"/>
        <v>0</v>
      </c>
      <c r="L107" s="48">
        <v>1</v>
      </c>
      <c r="M107" s="48">
        <v>2</v>
      </c>
      <c r="N107" s="47"/>
    </row>
    <row r="108" spans="2:14" x14ac:dyDescent="0.2">
      <c r="B108" s="9">
        <f>F31</f>
        <v>134.21</v>
      </c>
      <c r="C108" s="40">
        <f t="shared" si="12"/>
        <v>0.86220520496726827</v>
      </c>
      <c r="D108" s="39" t="str">
        <f>IF(H31=0,"n/a",H31)</f>
        <v>n/a</v>
      </c>
      <c r="F108" s="5" t="s">
        <v>43</v>
      </c>
      <c r="G108" s="5" t="s">
        <v>57</v>
      </c>
      <c r="H108" s="16">
        <f t="shared" si="13"/>
        <v>0</v>
      </c>
      <c r="J108" s="16">
        <f>IF(H$6&gt;=L$115,1,0)</f>
        <v>0</v>
      </c>
      <c r="K108" s="16">
        <f t="shared" si="14"/>
        <v>0</v>
      </c>
      <c r="L108" s="48">
        <v>0.9</v>
      </c>
      <c r="M108" s="48">
        <v>1.8</v>
      </c>
    </row>
    <row r="109" spans="2:14" x14ac:dyDescent="0.2">
      <c r="B109" s="9">
        <f>F30</f>
        <v>136.41</v>
      </c>
      <c r="C109" s="40">
        <f t="shared" si="12"/>
        <v>0.87633866336029398</v>
      </c>
      <c r="D109" s="39">
        <f>IF(H30=0,"n/a",H30)</f>
        <v>1.5109999999999999</v>
      </c>
      <c r="F109" s="5" t="s">
        <v>44</v>
      </c>
      <c r="G109" s="5" t="s">
        <v>56</v>
      </c>
      <c r="H109" s="16">
        <f t="shared" si="13"/>
        <v>0</v>
      </c>
      <c r="J109" s="16">
        <f>IF(H$6&lt;L$115,1,0)</f>
        <v>1</v>
      </c>
      <c r="K109" s="16">
        <f t="shared" si="14"/>
        <v>0</v>
      </c>
      <c r="L109" s="48">
        <v>1</v>
      </c>
      <c r="M109" s="48">
        <v>2</v>
      </c>
      <c r="N109" s="47"/>
    </row>
    <row r="110" spans="2:14" x14ac:dyDescent="0.2">
      <c r="B110" s="9">
        <f>F29</f>
        <v>138.61000000000001</v>
      </c>
      <c r="C110" s="40">
        <f t="shared" si="12"/>
        <v>0.89047212175331991</v>
      </c>
      <c r="D110" s="39" t="str">
        <f>IF(H29=0,"n/a",H29)</f>
        <v>n/a</v>
      </c>
      <c r="F110" s="5" t="s">
        <v>44</v>
      </c>
      <c r="G110" s="5" t="s">
        <v>58</v>
      </c>
      <c r="H110" s="16">
        <f t="shared" si="13"/>
        <v>0</v>
      </c>
      <c r="J110" s="16">
        <f>IF(H$6&gt;=L$115,1,0)</f>
        <v>0</v>
      </c>
      <c r="K110" s="16">
        <f t="shared" si="14"/>
        <v>0</v>
      </c>
      <c r="L110" s="48">
        <v>0.9</v>
      </c>
      <c r="M110" s="48">
        <v>1.8</v>
      </c>
    </row>
    <row r="111" spans="2:14" x14ac:dyDescent="0.2">
      <c r="B111" s="9">
        <f>F28</f>
        <v>140.81</v>
      </c>
      <c r="C111" s="40">
        <f t="shared" si="12"/>
        <v>0.90460558014634562</v>
      </c>
      <c r="D111" s="39" t="str">
        <f>IF(H28=0,"n/a",H28)</f>
        <v>n/a</v>
      </c>
      <c r="F111" s="5" t="s">
        <v>45</v>
      </c>
      <c r="G111" s="5" t="s">
        <v>56</v>
      </c>
      <c r="H111" s="16">
        <f t="shared" si="13"/>
        <v>0</v>
      </c>
      <c r="J111" s="16">
        <f>IF(H$6&lt;L$115,1,0)</f>
        <v>1</v>
      </c>
      <c r="K111" s="16">
        <f t="shared" si="14"/>
        <v>0</v>
      </c>
      <c r="L111" s="48">
        <v>1</v>
      </c>
      <c r="M111" s="48">
        <v>1.7</v>
      </c>
      <c r="N111" s="47"/>
    </row>
    <row r="112" spans="2:14" x14ac:dyDescent="0.2">
      <c r="B112" s="9">
        <f>F27</f>
        <v>143.01</v>
      </c>
      <c r="C112" s="40">
        <f t="shared" si="12"/>
        <v>0.91873903853937133</v>
      </c>
      <c r="D112" s="39" t="str">
        <f>IF(H27=0,"n/a",H27)</f>
        <v>n/a</v>
      </c>
      <c r="F112" s="5" t="s">
        <v>45</v>
      </c>
      <c r="G112" s="5" t="s">
        <v>57</v>
      </c>
      <c r="H112" s="16">
        <f t="shared" si="13"/>
        <v>0</v>
      </c>
      <c r="J112" s="16">
        <f>IF(H$6&gt;=L$115,1,0)</f>
        <v>0</v>
      </c>
      <c r="K112" s="16">
        <f t="shared" si="14"/>
        <v>0</v>
      </c>
      <c r="L112" s="48">
        <v>0.8</v>
      </c>
      <c r="M112" s="48">
        <v>1.6</v>
      </c>
    </row>
    <row r="113" spans="2:14" x14ac:dyDescent="0.2">
      <c r="B113" s="9">
        <f>F26</f>
        <v>145.21</v>
      </c>
      <c r="C113" s="40">
        <f t="shared" si="12"/>
        <v>0.93287249693239715</v>
      </c>
      <c r="D113" s="39">
        <f>IF(H26=0,"n/a",H26)</f>
        <v>3.6280000000000001</v>
      </c>
      <c r="F113" s="81" t="s">
        <v>49</v>
      </c>
      <c r="G113" s="81"/>
      <c r="H113" s="81"/>
      <c r="I113" s="81"/>
      <c r="J113" s="81"/>
      <c r="K113" s="81"/>
      <c r="L113" s="82">
        <f>SUMPRODUCT(K105:K112,L105:L112)</f>
        <v>1.1000000000000001</v>
      </c>
      <c r="M113" s="82">
        <f>SUMPRODUCT(K105:K112,M105:M112)</f>
        <v>2.2000000000000002</v>
      </c>
      <c r="N113" s="81"/>
    </row>
    <row r="114" spans="2:14" x14ac:dyDescent="0.2">
      <c r="B114" s="9">
        <f>F25</f>
        <v>147.41</v>
      </c>
      <c r="C114" s="40">
        <f t="shared" si="12"/>
        <v>0.94700595532542287</v>
      </c>
      <c r="D114" s="39">
        <f>IF(H25=0,"n/a",H25)</f>
        <v>4.4219999999999997</v>
      </c>
    </row>
    <row r="115" spans="2:14" x14ac:dyDescent="0.2">
      <c r="B115" s="9">
        <f>F24</f>
        <v>149.61000000000001</v>
      </c>
      <c r="C115" s="40">
        <f t="shared" si="12"/>
        <v>0.9611394137184488</v>
      </c>
      <c r="D115" s="39" t="str">
        <f>IF(H24=0,"n/a",H24)</f>
        <v>n/a</v>
      </c>
      <c r="F115" s="5" t="s">
        <v>46</v>
      </c>
      <c r="L115" s="49">
        <v>600</v>
      </c>
    </row>
    <row r="116" spans="2:14" x14ac:dyDescent="0.2">
      <c r="B116" s="9">
        <f>F23</f>
        <v>151.81</v>
      </c>
      <c r="C116" s="40">
        <f t="shared" si="12"/>
        <v>0.97527287211147451</v>
      </c>
      <c r="D116" s="39" t="str">
        <f>IF(H23=0,"n/a",H23)</f>
        <v>n/a</v>
      </c>
      <c r="F116" s="5" t="s">
        <v>47</v>
      </c>
      <c r="L116" s="49">
        <v>900</v>
      </c>
    </row>
    <row r="117" spans="2:14" ht="13.5" thickBot="1" x14ac:dyDescent="0.25">
      <c r="B117" s="14">
        <f>F22</f>
        <v>154.01</v>
      </c>
      <c r="C117" s="41">
        <f t="shared" si="12"/>
        <v>0.98940633050450022</v>
      </c>
      <c r="D117" s="42">
        <f>IF(H22=0,"n/a",H22)</f>
        <v>7.4720000000000004</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ZVCZuGsU2jscRNqJEFHwFY1qqB5paheZ3pXOX7Q0gPifJWga7KIoZrAm8obHI8teq9oQHm7ZgkyczBfH1jDnvQ==" saltValue="jh7fQGdd+g70P3DmsTJhKg==" spinCount="100000" sheet="1" objects="1" scenarios="1"/>
  <mergeCells count="19">
    <mergeCell ref="B37:F37"/>
    <mergeCell ref="B38:D38"/>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 ref="B12:G12"/>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2" r:id="rId1"/>
    <hyperlink ref="B40" r:id="rId2"/>
    <hyperlink ref="B37" r:id="rId3"/>
    <hyperlink ref="B38"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
  <sheetViews>
    <sheetView workbookViewId="0">
      <selection activeCell="Q33" sqref="Q33"/>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68" t="s">
        <v>122</v>
      </c>
      <c r="C2" s="168"/>
      <c r="D2" s="168"/>
      <c r="E2" s="168"/>
      <c r="F2" s="168"/>
      <c r="G2" s="168"/>
      <c r="H2" s="168"/>
      <c r="I2" s="168"/>
      <c r="J2" s="168"/>
      <c r="K2" s="168"/>
      <c r="L2" s="168"/>
      <c r="M2" s="168"/>
    </row>
    <row r="3" spans="2:13" ht="15.75" x14ac:dyDescent="0.25">
      <c r="B3" s="170" t="s">
        <v>123</v>
      </c>
      <c r="C3" s="171"/>
      <c r="D3" s="171"/>
      <c r="E3" s="171"/>
      <c r="F3" s="171"/>
      <c r="G3" s="171"/>
      <c r="H3" s="171"/>
      <c r="I3" s="171"/>
      <c r="J3" s="171"/>
      <c r="K3" s="171"/>
      <c r="L3" s="171"/>
      <c r="M3" s="17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0" x14ac:dyDescent="0.2">
      <c r="B33" s="2"/>
      <c r="C33" s="3"/>
      <c r="D33" s="3"/>
      <c r="E33" s="3"/>
      <c r="F33" s="3"/>
      <c r="G33" s="3"/>
      <c r="H33" s="3"/>
      <c r="I33" s="3"/>
      <c r="J33" s="4"/>
    </row>
    <row r="34" spans="2:10" x14ac:dyDescent="0.2">
      <c r="B34" s="2"/>
      <c r="C34" s="3"/>
      <c r="D34" s="3"/>
      <c r="E34" s="3"/>
      <c r="F34" s="3"/>
      <c r="G34" s="3"/>
      <c r="H34" s="3"/>
      <c r="I34" s="3"/>
      <c r="J34" s="4"/>
    </row>
    <row r="35" spans="2:10" x14ac:dyDescent="0.2">
      <c r="B35" s="2"/>
      <c r="C35" s="3"/>
      <c r="D35" s="3"/>
      <c r="E35" s="3"/>
      <c r="F35" s="3"/>
      <c r="G35" s="3"/>
      <c r="H35" s="3"/>
      <c r="I35" s="3"/>
      <c r="J35" s="4"/>
    </row>
    <row r="36" spans="2:10" x14ac:dyDescent="0.2">
      <c r="B36" s="2"/>
      <c r="C36" s="3"/>
      <c r="D36" s="3"/>
      <c r="E36" s="3"/>
      <c r="F36" s="3"/>
      <c r="G36" s="3"/>
      <c r="H36" s="3"/>
      <c r="I36" s="3"/>
      <c r="J36" s="4"/>
    </row>
    <row r="37" spans="2:10" x14ac:dyDescent="0.2">
      <c r="B37" s="2"/>
      <c r="C37" s="3"/>
      <c r="D37" s="3"/>
      <c r="E37" s="3"/>
      <c r="F37" s="3"/>
      <c r="G37" s="3"/>
      <c r="H37" s="3"/>
      <c r="I37" s="3"/>
      <c r="J37" s="4"/>
    </row>
    <row r="38" spans="2:10" x14ac:dyDescent="0.2">
      <c r="B38" s="2"/>
      <c r="C38" s="3"/>
      <c r="D38" s="3"/>
      <c r="E38" s="3"/>
      <c r="F38" s="3"/>
      <c r="G38" s="3"/>
      <c r="H38" s="3"/>
      <c r="I38" s="3"/>
      <c r="J38" s="4"/>
    </row>
    <row r="39" spans="2:10" x14ac:dyDescent="0.2">
      <c r="B39" s="2"/>
      <c r="C39" s="3"/>
      <c r="D39" s="3"/>
      <c r="E39" s="3"/>
      <c r="F39" s="3"/>
      <c r="G39" s="3"/>
      <c r="H39" s="3"/>
      <c r="I39" s="3"/>
      <c r="J39" s="4"/>
    </row>
    <row r="40" spans="2:10" x14ac:dyDescent="0.2">
      <c r="B40" s="2"/>
      <c r="C40" s="3"/>
      <c r="D40" s="3"/>
      <c r="E40" s="3"/>
      <c r="F40" s="3"/>
      <c r="G40" s="3"/>
      <c r="H40" s="3"/>
      <c r="I40" s="3"/>
      <c r="J40" s="4"/>
    </row>
    <row r="41" spans="2:10" x14ac:dyDescent="0.2">
      <c r="B41" s="2"/>
      <c r="C41" s="3"/>
      <c r="D41" s="3"/>
      <c r="E41" s="3"/>
      <c r="F41" s="3"/>
      <c r="G41" s="3"/>
      <c r="H41" s="3"/>
      <c r="I41" s="3"/>
      <c r="J41" s="4"/>
    </row>
    <row r="42" spans="2:10" x14ac:dyDescent="0.2">
      <c r="B42" s="2"/>
      <c r="C42" s="3"/>
      <c r="D42" s="3"/>
      <c r="E42" s="3"/>
      <c r="F42" s="3"/>
      <c r="G42" s="3"/>
      <c r="H42" s="3"/>
      <c r="I42" s="3"/>
      <c r="J42" s="4"/>
    </row>
    <row r="43" spans="2:10" x14ac:dyDescent="0.2">
      <c r="B43" s="2"/>
      <c r="C43" s="3"/>
      <c r="D43" s="3"/>
      <c r="E43" s="3"/>
      <c r="F43" s="3"/>
      <c r="G43" s="3"/>
      <c r="H43" s="3"/>
      <c r="I43" s="3"/>
      <c r="J43" s="4"/>
    </row>
    <row r="44" spans="2:10" x14ac:dyDescent="0.2">
      <c r="B44" s="2"/>
      <c r="C44" s="3"/>
      <c r="D44" s="3"/>
      <c r="E44" s="3"/>
      <c r="F44" s="3"/>
      <c r="G44" s="3"/>
      <c r="H44" s="3"/>
      <c r="I44" s="3"/>
      <c r="J44" s="4"/>
    </row>
    <row r="45" spans="2:10" x14ac:dyDescent="0.2">
      <c r="B45" s="2"/>
      <c r="C45" s="3"/>
      <c r="D45" s="3"/>
      <c r="E45" s="3"/>
      <c r="F45" s="3"/>
      <c r="G45" s="3"/>
      <c r="H45" s="3"/>
      <c r="I45" s="3"/>
      <c r="J45" s="4"/>
    </row>
    <row r="46" spans="2:10" x14ac:dyDescent="0.2">
      <c r="B46" s="2"/>
      <c r="C46" s="3"/>
      <c r="D46" s="3"/>
      <c r="E46" s="3"/>
      <c r="F46" s="3"/>
      <c r="G46" s="3"/>
      <c r="H46" s="3"/>
      <c r="I46" s="3"/>
      <c r="J46" s="4"/>
    </row>
    <row r="47" spans="2:10" x14ac:dyDescent="0.2">
      <c r="B47" s="2"/>
      <c r="C47" s="3"/>
      <c r="D47" s="3"/>
      <c r="E47" s="3"/>
      <c r="F47" s="3"/>
      <c r="G47" s="3"/>
      <c r="H47" s="3"/>
      <c r="I47" s="3"/>
      <c r="J47" s="4"/>
    </row>
    <row r="48" spans="2:10" x14ac:dyDescent="0.2">
      <c r="B48" s="2"/>
      <c r="C48" s="3"/>
      <c r="D48" s="3"/>
      <c r="E48" s="3"/>
      <c r="F48" s="3"/>
      <c r="G48" s="3"/>
      <c r="H48" s="3"/>
      <c r="I48" s="3"/>
      <c r="J48" s="4"/>
    </row>
    <row r="49" spans="2:13" x14ac:dyDescent="0.2">
      <c r="B49" s="2"/>
      <c r="C49" s="3"/>
      <c r="D49" s="3"/>
      <c r="E49" s="3"/>
      <c r="F49" s="3"/>
      <c r="G49" s="3"/>
      <c r="H49" s="3"/>
      <c r="I49" s="3"/>
      <c r="J49" s="4"/>
    </row>
    <row r="50" spans="2:13" x14ac:dyDescent="0.2">
      <c r="B50" s="2"/>
      <c r="C50" s="3"/>
      <c r="D50" s="3"/>
      <c r="E50" s="3"/>
      <c r="F50" s="3"/>
      <c r="G50" s="3"/>
      <c r="H50" s="3"/>
      <c r="I50" s="3"/>
      <c r="J50" s="4"/>
    </row>
    <row r="51" spans="2:13" x14ac:dyDescent="0.2">
      <c r="B51" s="2"/>
      <c r="C51" s="3"/>
      <c r="D51" s="3"/>
      <c r="E51" s="3"/>
      <c r="F51" s="3"/>
      <c r="G51" s="3"/>
      <c r="H51" s="3"/>
      <c r="I51" s="3"/>
      <c r="J51" s="4"/>
    </row>
    <row r="52" spans="2:13" x14ac:dyDescent="0.2">
      <c r="B52" s="2"/>
      <c r="C52" s="3"/>
      <c r="D52" s="3"/>
      <c r="E52" s="3"/>
      <c r="F52" s="3"/>
      <c r="G52" s="3"/>
      <c r="H52" s="3"/>
      <c r="I52" s="3"/>
      <c r="J52" s="4"/>
    </row>
    <row r="53" spans="2:13" x14ac:dyDescent="0.2">
      <c r="B53" s="2"/>
      <c r="C53" s="3"/>
      <c r="D53" s="3"/>
      <c r="E53" s="3"/>
      <c r="F53" s="3"/>
      <c r="G53" s="3"/>
      <c r="H53" s="3"/>
      <c r="I53" s="3"/>
      <c r="J53" s="4"/>
    </row>
    <row r="54" spans="2:13" x14ac:dyDescent="0.2">
      <c r="B54" s="2"/>
      <c r="C54" s="3"/>
      <c r="D54" s="3"/>
      <c r="E54" s="3"/>
      <c r="F54" s="3"/>
      <c r="G54" s="3"/>
      <c r="H54" s="3"/>
      <c r="I54" s="3"/>
      <c r="J54" s="4"/>
    </row>
    <row r="55" spans="2:13" x14ac:dyDescent="0.2">
      <c r="B55" s="2"/>
      <c r="C55" s="3"/>
      <c r="D55" s="3"/>
      <c r="E55" s="3"/>
      <c r="F55" s="3"/>
      <c r="G55" s="3"/>
      <c r="H55" s="3"/>
      <c r="I55" s="3"/>
      <c r="J55" s="4"/>
    </row>
    <row r="57" spans="2:13" ht="15" x14ac:dyDescent="0.25">
      <c r="B57" s="167" t="s">
        <v>121</v>
      </c>
      <c r="C57" s="167"/>
      <c r="D57" s="167"/>
      <c r="E57" s="167"/>
      <c r="F57" s="167"/>
      <c r="G57" s="167"/>
      <c r="H57" s="167"/>
      <c r="I57" s="167"/>
      <c r="J57" s="167"/>
      <c r="K57" s="167"/>
      <c r="L57" s="167"/>
      <c r="M57" s="167"/>
    </row>
    <row r="58" spans="2:13" ht="14.25" x14ac:dyDescent="0.2">
      <c r="B58" s="169" t="s">
        <v>84</v>
      </c>
      <c r="C58" s="169"/>
      <c r="D58" s="169"/>
      <c r="E58" s="169"/>
      <c r="F58" s="169"/>
      <c r="G58" s="169"/>
      <c r="H58" s="169"/>
      <c r="I58" s="169"/>
      <c r="J58" s="169"/>
      <c r="K58" s="169"/>
      <c r="L58" s="169"/>
      <c r="M58" s="169"/>
    </row>
  </sheetData>
  <mergeCells count="4">
    <mergeCell ref="B57:M57"/>
    <mergeCell ref="B2:M2"/>
    <mergeCell ref="B58:M58"/>
    <mergeCell ref="B3:M3"/>
  </mergeCells>
  <phoneticPr fontId="5" type="noConversion"/>
  <hyperlinks>
    <hyperlink ref="B58"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2"/>
  <sheetViews>
    <sheetView workbookViewId="0">
      <selection activeCell="T47" sqref="T47"/>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73" t="s">
        <v>88</v>
      </c>
      <c r="I2" s="173"/>
      <c r="J2" s="173"/>
      <c r="K2" s="173"/>
      <c r="L2" s="173"/>
      <c r="M2" s="173"/>
      <c r="N2" s="173"/>
      <c r="O2" s="173"/>
    </row>
    <row r="3" spans="2:15" x14ac:dyDescent="0.2">
      <c r="B3" s="172" t="s">
        <v>87</v>
      </c>
      <c r="C3" s="172"/>
      <c r="D3" s="172"/>
      <c r="E3" s="172"/>
      <c r="F3" s="172"/>
      <c r="G3" s="172"/>
      <c r="H3" s="172"/>
      <c r="I3" s="172"/>
      <c r="J3" s="172"/>
      <c r="K3" s="172"/>
      <c r="L3" s="172"/>
      <c r="M3" s="172"/>
      <c r="N3" s="172"/>
      <c r="O3" s="172"/>
    </row>
    <row r="42" spans="2:16" x14ac:dyDescent="0.2">
      <c r="B42" s="45" t="s">
        <v>13</v>
      </c>
      <c r="C42" s="43"/>
      <c r="D42" s="43"/>
      <c r="E42" s="43"/>
      <c r="F42" s="43"/>
      <c r="G42" s="43"/>
      <c r="H42" s="43"/>
      <c r="I42" s="174" t="s">
        <v>38</v>
      </c>
      <c r="J42" s="174"/>
      <c r="K42" s="174"/>
      <c r="L42" s="174"/>
      <c r="M42" s="174"/>
      <c r="N42" s="174"/>
      <c r="O42" s="174"/>
    </row>
    <row r="43" spans="2:16" x14ac:dyDescent="0.2">
      <c r="B43" s="172" t="s">
        <v>89</v>
      </c>
      <c r="C43" s="172"/>
      <c r="D43" s="172"/>
      <c r="E43" s="172"/>
      <c r="F43" s="172"/>
      <c r="G43" s="172"/>
      <c r="H43" s="172"/>
      <c r="I43" s="172"/>
      <c r="J43" s="172"/>
      <c r="K43" s="172"/>
      <c r="L43" s="172"/>
      <c r="M43" s="172"/>
      <c r="N43" s="172"/>
      <c r="O43" s="172"/>
    </row>
    <row r="45" spans="2:16" ht="13.5" thickBot="1" x14ac:dyDescent="0.25">
      <c r="B45" s="177" t="s">
        <v>90</v>
      </c>
      <c r="C45" s="177"/>
      <c r="D45" s="177"/>
      <c r="E45" s="177"/>
      <c r="F45" s="177"/>
      <c r="G45" s="177"/>
      <c r="H45" s="177"/>
      <c r="I45" s="177"/>
      <c r="J45" s="177"/>
      <c r="K45" s="177"/>
      <c r="L45" s="177"/>
      <c r="M45" s="177"/>
      <c r="N45" s="177"/>
      <c r="O45" s="177"/>
      <c r="P45" s="176"/>
    </row>
    <row r="46" spans="2:16" ht="34.5" thickBot="1" x14ac:dyDescent="0.25">
      <c r="B46" s="126" t="s">
        <v>91</v>
      </c>
      <c r="C46" s="126" t="s">
        <v>92</v>
      </c>
      <c r="D46" s="126" t="s">
        <v>93</v>
      </c>
      <c r="E46" s="126" t="s">
        <v>94</v>
      </c>
      <c r="F46" s="126" t="s">
        <v>59</v>
      </c>
      <c r="G46" s="126" t="s">
        <v>95</v>
      </c>
      <c r="H46" s="126" t="s">
        <v>96</v>
      </c>
      <c r="I46" s="126" t="s">
        <v>97</v>
      </c>
      <c r="J46" s="126" t="s">
        <v>98</v>
      </c>
      <c r="K46" s="126" t="s">
        <v>16</v>
      </c>
      <c r="L46" s="126" t="s">
        <v>99</v>
      </c>
      <c r="M46" s="126" t="s">
        <v>100</v>
      </c>
      <c r="N46" s="126" t="s">
        <v>101</v>
      </c>
      <c r="O46" s="126" t="s">
        <v>102</v>
      </c>
      <c r="P46" s="176"/>
    </row>
    <row r="47" spans="2:16" ht="34.5" thickBot="1" x14ac:dyDescent="0.25">
      <c r="B47" s="127" t="s">
        <v>103</v>
      </c>
      <c r="C47" s="127" t="s">
        <v>104</v>
      </c>
      <c r="D47" s="127">
        <v>13</v>
      </c>
      <c r="E47" s="127" t="s">
        <v>105</v>
      </c>
      <c r="F47" s="127" t="s">
        <v>106</v>
      </c>
      <c r="G47" s="127" t="s">
        <v>107</v>
      </c>
      <c r="H47" s="127">
        <v>2016</v>
      </c>
      <c r="I47" s="127">
        <v>142.1</v>
      </c>
      <c r="J47" s="128">
        <v>142</v>
      </c>
      <c r="K47" s="127">
        <v>0.99929999999999997</v>
      </c>
      <c r="L47" s="127">
        <v>4.5134000000000001E-2</v>
      </c>
      <c r="M47" s="127">
        <v>6.4089999999999998</v>
      </c>
      <c r="N47" s="129">
        <v>42605</v>
      </c>
      <c r="O47" s="130"/>
      <c r="P47" s="176"/>
    </row>
    <row r="48" spans="2:16" ht="34.5" thickBot="1" x14ac:dyDescent="0.25">
      <c r="B48" s="131" t="s">
        <v>103</v>
      </c>
      <c r="C48" s="131" t="s">
        <v>104</v>
      </c>
      <c r="D48" s="131">
        <v>13</v>
      </c>
      <c r="E48" s="131" t="s">
        <v>105</v>
      </c>
      <c r="F48" s="131" t="s">
        <v>106</v>
      </c>
      <c r="G48" s="131" t="s">
        <v>107</v>
      </c>
      <c r="H48" s="131">
        <v>2016</v>
      </c>
      <c r="I48" s="131">
        <v>142.1</v>
      </c>
      <c r="J48" s="132">
        <v>140</v>
      </c>
      <c r="K48" s="131">
        <v>0.98519999999999996</v>
      </c>
      <c r="L48" s="131">
        <v>3.8435999999999998E-2</v>
      </c>
      <c r="M48" s="131">
        <v>5.3810000000000002</v>
      </c>
      <c r="N48" s="133">
        <v>42605</v>
      </c>
      <c r="O48" s="134"/>
      <c r="P48" s="176"/>
    </row>
    <row r="49" spans="2:16" ht="34.5" thickBot="1" x14ac:dyDescent="0.25">
      <c r="B49" s="127" t="s">
        <v>103</v>
      </c>
      <c r="C49" s="127" t="s">
        <v>104</v>
      </c>
      <c r="D49" s="127">
        <v>13</v>
      </c>
      <c r="E49" s="127" t="s">
        <v>105</v>
      </c>
      <c r="F49" s="127" t="s">
        <v>106</v>
      </c>
      <c r="G49" s="127" t="s">
        <v>107</v>
      </c>
      <c r="H49" s="127">
        <v>2016</v>
      </c>
      <c r="I49" s="127">
        <v>142.1</v>
      </c>
      <c r="J49" s="128">
        <v>138</v>
      </c>
      <c r="K49" s="127">
        <v>0.97109999999999996</v>
      </c>
      <c r="L49" s="127">
        <v>3.2579999999999998E-2</v>
      </c>
      <c r="M49" s="127">
        <v>4.4960000000000004</v>
      </c>
      <c r="N49" s="129">
        <v>42605</v>
      </c>
      <c r="O49" s="130"/>
      <c r="P49" s="176"/>
    </row>
    <row r="50" spans="2:16" ht="34.5" thickBot="1" x14ac:dyDescent="0.25">
      <c r="B50" s="131" t="s">
        <v>103</v>
      </c>
      <c r="C50" s="131" t="s">
        <v>104</v>
      </c>
      <c r="D50" s="131">
        <v>13</v>
      </c>
      <c r="E50" s="131" t="s">
        <v>105</v>
      </c>
      <c r="F50" s="131" t="s">
        <v>106</v>
      </c>
      <c r="G50" s="131" t="s">
        <v>107</v>
      </c>
      <c r="H50" s="131">
        <v>2016</v>
      </c>
      <c r="I50" s="131">
        <v>142.1</v>
      </c>
      <c r="J50" s="132">
        <v>136</v>
      </c>
      <c r="K50" s="131">
        <v>0.95709999999999995</v>
      </c>
      <c r="L50" s="131">
        <v>2.7449000000000001E-2</v>
      </c>
      <c r="M50" s="131">
        <v>3.7330000000000001</v>
      </c>
      <c r="N50" s="133">
        <v>42605</v>
      </c>
      <c r="O50" s="134"/>
      <c r="P50" s="176"/>
    </row>
    <row r="51" spans="2:16" ht="34.5" thickBot="1" x14ac:dyDescent="0.25">
      <c r="B51" s="127" t="s">
        <v>103</v>
      </c>
      <c r="C51" s="127" t="s">
        <v>104</v>
      </c>
      <c r="D51" s="127">
        <v>13</v>
      </c>
      <c r="E51" s="127" t="s">
        <v>105</v>
      </c>
      <c r="F51" s="127" t="s">
        <v>106</v>
      </c>
      <c r="G51" s="127" t="s">
        <v>107</v>
      </c>
      <c r="H51" s="127">
        <v>2016</v>
      </c>
      <c r="I51" s="127">
        <v>142.1</v>
      </c>
      <c r="J51" s="128">
        <v>134</v>
      </c>
      <c r="K51" s="127">
        <v>0.94299999999999995</v>
      </c>
      <c r="L51" s="127">
        <v>2.2769000000000001E-2</v>
      </c>
      <c r="M51" s="127">
        <v>3.0510000000000002</v>
      </c>
      <c r="N51" s="129">
        <v>42605</v>
      </c>
      <c r="O51" s="130"/>
      <c r="P51" s="176"/>
    </row>
    <row r="52" spans="2:16" ht="34.5" thickBot="1" x14ac:dyDescent="0.25">
      <c r="B52" s="131" t="s">
        <v>103</v>
      </c>
      <c r="C52" s="131" t="s">
        <v>104</v>
      </c>
      <c r="D52" s="131">
        <v>13</v>
      </c>
      <c r="E52" s="131" t="s">
        <v>105</v>
      </c>
      <c r="F52" s="131" t="s">
        <v>106</v>
      </c>
      <c r="G52" s="131" t="s">
        <v>107</v>
      </c>
      <c r="H52" s="131">
        <v>2016</v>
      </c>
      <c r="I52" s="131">
        <v>142.1</v>
      </c>
      <c r="J52" s="132">
        <v>132</v>
      </c>
      <c r="K52" s="131">
        <v>0.92889999999999995</v>
      </c>
      <c r="L52" s="131">
        <v>1.8606000000000001E-2</v>
      </c>
      <c r="M52" s="131">
        <v>2.456</v>
      </c>
      <c r="N52" s="133">
        <v>42605</v>
      </c>
      <c r="O52" s="134"/>
      <c r="P52" s="176"/>
    </row>
    <row r="53" spans="2:16" ht="34.5" thickBot="1" x14ac:dyDescent="0.25">
      <c r="B53" s="127" t="s">
        <v>103</v>
      </c>
      <c r="C53" s="127" t="s">
        <v>104</v>
      </c>
      <c r="D53" s="127">
        <v>13</v>
      </c>
      <c r="E53" s="127" t="s">
        <v>105</v>
      </c>
      <c r="F53" s="127" t="s">
        <v>106</v>
      </c>
      <c r="G53" s="127" t="s">
        <v>107</v>
      </c>
      <c r="H53" s="127">
        <v>2016</v>
      </c>
      <c r="I53" s="127">
        <v>142.1</v>
      </c>
      <c r="J53" s="128">
        <v>130</v>
      </c>
      <c r="K53" s="127">
        <v>0.91479999999999995</v>
      </c>
      <c r="L53" s="127">
        <v>1.5192000000000001E-2</v>
      </c>
      <c r="M53" s="127">
        <v>1.9750000000000001</v>
      </c>
      <c r="N53" s="129">
        <v>42605</v>
      </c>
      <c r="O53" s="130"/>
      <c r="P53" s="176"/>
    </row>
    <row r="54" spans="2:16" ht="34.5" thickBot="1" x14ac:dyDescent="0.25">
      <c r="B54" s="131" t="s">
        <v>103</v>
      </c>
      <c r="C54" s="131" t="s">
        <v>104</v>
      </c>
      <c r="D54" s="131">
        <v>13</v>
      </c>
      <c r="E54" s="131" t="s">
        <v>105</v>
      </c>
      <c r="F54" s="131" t="s">
        <v>106</v>
      </c>
      <c r="G54" s="131" t="s">
        <v>107</v>
      </c>
      <c r="H54" s="131">
        <v>2016</v>
      </c>
      <c r="I54" s="131">
        <v>142.1</v>
      </c>
      <c r="J54" s="132">
        <v>128</v>
      </c>
      <c r="K54" s="131">
        <v>0.90080000000000005</v>
      </c>
      <c r="L54" s="131">
        <v>1.2367E-2</v>
      </c>
      <c r="M54" s="131">
        <v>1.583</v>
      </c>
      <c r="N54" s="133">
        <v>42605</v>
      </c>
      <c r="O54" s="134"/>
      <c r="P54" s="176"/>
    </row>
    <row r="55" spans="2:16" ht="34.5" thickBot="1" x14ac:dyDescent="0.25">
      <c r="B55" s="127" t="s">
        <v>103</v>
      </c>
      <c r="C55" s="127" t="s">
        <v>104</v>
      </c>
      <c r="D55" s="127">
        <v>13</v>
      </c>
      <c r="E55" s="127" t="s">
        <v>105</v>
      </c>
      <c r="F55" s="127" t="s">
        <v>106</v>
      </c>
      <c r="G55" s="127" t="s">
        <v>107</v>
      </c>
      <c r="H55" s="127">
        <v>2016</v>
      </c>
      <c r="I55" s="127">
        <v>142.1</v>
      </c>
      <c r="J55" s="128">
        <v>124</v>
      </c>
      <c r="K55" s="127">
        <v>0.87260000000000004</v>
      </c>
      <c r="L55" s="127">
        <v>8.0000000000000002E-3</v>
      </c>
      <c r="M55" s="127">
        <v>0.99199999999999999</v>
      </c>
      <c r="N55" s="129">
        <v>42605</v>
      </c>
      <c r="O55" s="130"/>
      <c r="P55" s="176"/>
    </row>
    <row r="56" spans="2:16" ht="34.5" thickBot="1" x14ac:dyDescent="0.25">
      <c r="B56" s="131" t="s">
        <v>103</v>
      </c>
      <c r="C56" s="131" t="s">
        <v>104</v>
      </c>
      <c r="D56" s="131">
        <v>17</v>
      </c>
      <c r="E56" s="131" t="s">
        <v>105</v>
      </c>
      <c r="F56" s="131" t="s">
        <v>106</v>
      </c>
      <c r="G56" s="131" t="s">
        <v>107</v>
      </c>
      <c r="H56" s="131">
        <v>2016</v>
      </c>
      <c r="I56" s="131">
        <v>140.86199999999999</v>
      </c>
      <c r="J56" s="132">
        <v>140.09</v>
      </c>
      <c r="K56" s="131">
        <v>0.99450000000000005</v>
      </c>
      <c r="L56" s="131">
        <v>5.2366000000000003E-2</v>
      </c>
      <c r="M56" s="131">
        <v>7.3360000000000003</v>
      </c>
      <c r="N56" s="133">
        <v>42633</v>
      </c>
      <c r="O56" s="134"/>
      <c r="P56" s="176"/>
    </row>
    <row r="57" spans="2:16" ht="34.5" thickBot="1" x14ac:dyDescent="0.25">
      <c r="B57" s="127" t="s">
        <v>103</v>
      </c>
      <c r="C57" s="127" t="s">
        <v>104</v>
      </c>
      <c r="D57" s="127">
        <v>17</v>
      </c>
      <c r="E57" s="127" t="s">
        <v>105</v>
      </c>
      <c r="F57" s="127" t="s">
        <v>106</v>
      </c>
      <c r="G57" s="127" t="s">
        <v>107</v>
      </c>
      <c r="H57" s="127">
        <v>2016</v>
      </c>
      <c r="I57" s="127">
        <v>140.86199999999999</v>
      </c>
      <c r="J57" s="128">
        <v>138.09</v>
      </c>
      <c r="K57" s="127">
        <v>0.98029999999999995</v>
      </c>
      <c r="L57" s="127">
        <v>4.6115000000000003E-2</v>
      </c>
      <c r="M57" s="127">
        <v>6.3680000000000003</v>
      </c>
      <c r="N57" s="129">
        <v>42633</v>
      </c>
      <c r="O57" s="130"/>
      <c r="P57" s="176"/>
    </row>
    <row r="58" spans="2:16" ht="34.5" thickBot="1" x14ac:dyDescent="0.25">
      <c r="B58" s="131" t="s">
        <v>103</v>
      </c>
      <c r="C58" s="131" t="s">
        <v>104</v>
      </c>
      <c r="D58" s="131">
        <v>17</v>
      </c>
      <c r="E58" s="131" t="s">
        <v>105</v>
      </c>
      <c r="F58" s="131" t="s">
        <v>106</v>
      </c>
      <c r="G58" s="131" t="s">
        <v>107</v>
      </c>
      <c r="H58" s="131">
        <v>2016</v>
      </c>
      <c r="I58" s="131">
        <v>140.86199999999999</v>
      </c>
      <c r="J58" s="132">
        <v>136.09</v>
      </c>
      <c r="K58" s="131">
        <v>0.96609999999999996</v>
      </c>
      <c r="L58" s="131">
        <v>4.0348000000000002E-2</v>
      </c>
      <c r="M58" s="131">
        <v>5.4909999999999997</v>
      </c>
      <c r="N58" s="133">
        <v>42633</v>
      </c>
      <c r="O58" s="134"/>
      <c r="P58" s="176"/>
    </row>
    <row r="59" spans="2:16" ht="34.5" thickBot="1" x14ac:dyDescent="0.25">
      <c r="B59" s="127" t="s">
        <v>103</v>
      </c>
      <c r="C59" s="127" t="s">
        <v>104</v>
      </c>
      <c r="D59" s="127">
        <v>17</v>
      </c>
      <c r="E59" s="127" t="s">
        <v>105</v>
      </c>
      <c r="F59" s="127" t="s">
        <v>106</v>
      </c>
      <c r="G59" s="127" t="s">
        <v>107</v>
      </c>
      <c r="H59" s="127">
        <v>2016</v>
      </c>
      <c r="I59" s="127">
        <v>140.86199999999999</v>
      </c>
      <c r="J59" s="128">
        <v>134.09</v>
      </c>
      <c r="K59" s="127">
        <v>0.95189999999999997</v>
      </c>
      <c r="L59" s="127">
        <v>3.5088000000000001E-2</v>
      </c>
      <c r="M59" s="127">
        <v>4.7050000000000001</v>
      </c>
      <c r="N59" s="129">
        <v>42633</v>
      </c>
      <c r="O59" s="130"/>
      <c r="P59" s="176"/>
    </row>
    <row r="60" spans="2:16" ht="34.5" thickBot="1" x14ac:dyDescent="0.25">
      <c r="B60" s="131" t="s">
        <v>103</v>
      </c>
      <c r="C60" s="131" t="s">
        <v>104</v>
      </c>
      <c r="D60" s="131">
        <v>17</v>
      </c>
      <c r="E60" s="131" t="s">
        <v>105</v>
      </c>
      <c r="F60" s="131" t="s">
        <v>106</v>
      </c>
      <c r="G60" s="131" t="s">
        <v>107</v>
      </c>
      <c r="H60" s="131">
        <v>2016</v>
      </c>
      <c r="I60" s="131">
        <v>140.86199999999999</v>
      </c>
      <c r="J60" s="132">
        <v>130.09</v>
      </c>
      <c r="K60" s="131">
        <v>0.92349999999999999</v>
      </c>
      <c r="L60" s="131">
        <v>2.6166999999999999E-2</v>
      </c>
      <c r="M60" s="131">
        <v>3.4039999999999999</v>
      </c>
      <c r="N60" s="133">
        <v>42633</v>
      </c>
      <c r="O60" s="134"/>
      <c r="P60" s="176"/>
    </row>
    <row r="61" spans="2:16" ht="34.5" thickBot="1" x14ac:dyDescent="0.25">
      <c r="B61" s="127" t="s">
        <v>103</v>
      </c>
      <c r="C61" s="127" t="s">
        <v>104</v>
      </c>
      <c r="D61" s="127">
        <v>21</v>
      </c>
      <c r="E61" s="127" t="s">
        <v>105</v>
      </c>
      <c r="F61" s="127" t="s">
        <v>106</v>
      </c>
      <c r="G61" s="127" t="s">
        <v>107</v>
      </c>
      <c r="H61" s="127">
        <v>2016</v>
      </c>
      <c r="I61" s="127">
        <v>139.273</v>
      </c>
      <c r="J61" s="128">
        <v>138.16999999999999</v>
      </c>
      <c r="K61" s="127">
        <v>0.99209999999999998</v>
      </c>
      <c r="L61" s="127">
        <v>5.4744000000000001E-2</v>
      </c>
      <c r="M61" s="127">
        <v>7.5640000000000001</v>
      </c>
      <c r="N61" s="129">
        <v>42661</v>
      </c>
      <c r="O61" s="130"/>
      <c r="P61" s="176"/>
    </row>
    <row r="62" spans="2:16" ht="34.5" thickBot="1" x14ac:dyDescent="0.25">
      <c r="B62" s="131" t="s">
        <v>103</v>
      </c>
      <c r="C62" s="131" t="s">
        <v>104</v>
      </c>
      <c r="D62" s="131">
        <v>21</v>
      </c>
      <c r="E62" s="131" t="s">
        <v>105</v>
      </c>
      <c r="F62" s="131" t="s">
        <v>106</v>
      </c>
      <c r="G62" s="131" t="s">
        <v>107</v>
      </c>
      <c r="H62" s="131">
        <v>2016</v>
      </c>
      <c r="I62" s="131">
        <v>139.273</v>
      </c>
      <c r="J62" s="132">
        <v>136.16999999999999</v>
      </c>
      <c r="K62" s="131">
        <v>0.97770000000000001</v>
      </c>
      <c r="L62" s="131">
        <v>4.8607999999999998E-2</v>
      </c>
      <c r="M62" s="131">
        <v>6.6189999999999998</v>
      </c>
      <c r="N62" s="133">
        <v>42661</v>
      </c>
      <c r="O62" s="134"/>
      <c r="P62" s="176"/>
    </row>
    <row r="63" spans="2:16" ht="34.5" thickBot="1" x14ac:dyDescent="0.25">
      <c r="B63" s="127" t="s">
        <v>103</v>
      </c>
      <c r="C63" s="127" t="s">
        <v>104</v>
      </c>
      <c r="D63" s="127">
        <v>21</v>
      </c>
      <c r="E63" s="127" t="s">
        <v>105</v>
      </c>
      <c r="F63" s="127" t="s">
        <v>106</v>
      </c>
      <c r="G63" s="127" t="s">
        <v>107</v>
      </c>
      <c r="H63" s="127">
        <v>2016</v>
      </c>
      <c r="I63" s="127">
        <v>139.273</v>
      </c>
      <c r="J63" s="128">
        <v>128.16999999999999</v>
      </c>
      <c r="K63" s="127">
        <v>0.92030000000000001</v>
      </c>
      <c r="L63" s="127">
        <v>2.9055000000000001E-2</v>
      </c>
      <c r="M63" s="127">
        <v>3.7240000000000002</v>
      </c>
      <c r="N63" s="129">
        <v>42661</v>
      </c>
      <c r="O63" s="130"/>
      <c r="P63" s="176"/>
    </row>
    <row r="64" spans="2:16" ht="34.5" thickBot="1" x14ac:dyDescent="0.25">
      <c r="B64" s="131" t="s">
        <v>103</v>
      </c>
      <c r="C64" s="131" t="s">
        <v>104</v>
      </c>
      <c r="D64" s="131">
        <v>21</v>
      </c>
      <c r="E64" s="131" t="s">
        <v>105</v>
      </c>
      <c r="F64" s="131" t="s">
        <v>106</v>
      </c>
      <c r="G64" s="131" t="s">
        <v>107</v>
      </c>
      <c r="H64" s="131">
        <v>2016</v>
      </c>
      <c r="I64" s="131">
        <v>139.273</v>
      </c>
      <c r="J64" s="132">
        <v>126.17</v>
      </c>
      <c r="K64" s="131">
        <v>0.90590000000000004</v>
      </c>
      <c r="L64" s="131">
        <v>2.5363E-2</v>
      </c>
      <c r="M64" s="131">
        <v>3.2</v>
      </c>
      <c r="N64" s="133">
        <v>42661</v>
      </c>
      <c r="O64" s="134"/>
      <c r="P64" s="176"/>
    </row>
    <row r="65" spans="2:16" ht="34.5" thickBot="1" x14ac:dyDescent="0.25">
      <c r="B65" s="127" t="s">
        <v>103</v>
      </c>
      <c r="C65" s="127" t="s">
        <v>104</v>
      </c>
      <c r="D65" s="127">
        <v>26</v>
      </c>
      <c r="E65" s="127" t="s">
        <v>105</v>
      </c>
      <c r="F65" s="127" t="s">
        <v>106</v>
      </c>
      <c r="G65" s="127" t="s">
        <v>107</v>
      </c>
      <c r="H65" s="127">
        <v>2016</v>
      </c>
      <c r="I65" s="127">
        <v>135.51499999999999</v>
      </c>
      <c r="J65" s="128">
        <v>123.97</v>
      </c>
      <c r="K65" s="127">
        <v>0.91479999999999995</v>
      </c>
      <c r="L65" s="127">
        <v>2.8273E-2</v>
      </c>
      <c r="M65" s="127">
        <v>3.5049999999999999</v>
      </c>
      <c r="N65" s="129">
        <v>42696</v>
      </c>
      <c r="O65" s="130"/>
      <c r="P65" s="176"/>
    </row>
    <row r="66" spans="2:16" ht="34.5" thickBot="1" x14ac:dyDescent="0.25">
      <c r="B66" s="131" t="s">
        <v>103</v>
      </c>
      <c r="C66" s="131" t="s">
        <v>104</v>
      </c>
      <c r="D66" s="131">
        <v>30</v>
      </c>
      <c r="E66" s="131" t="s">
        <v>105</v>
      </c>
      <c r="F66" s="131" t="s">
        <v>106</v>
      </c>
      <c r="G66" s="131" t="s">
        <v>107</v>
      </c>
      <c r="H66" s="131">
        <v>2016</v>
      </c>
      <c r="I66" s="131">
        <v>132.833</v>
      </c>
      <c r="J66" s="132">
        <v>121.28</v>
      </c>
      <c r="K66" s="131">
        <v>0.91300000000000003</v>
      </c>
      <c r="L66" s="131">
        <v>3.2115999999999999E-2</v>
      </c>
      <c r="M66" s="131">
        <v>3.895</v>
      </c>
      <c r="N66" s="133">
        <v>42724</v>
      </c>
      <c r="O66" s="134"/>
      <c r="P66" s="176"/>
    </row>
    <row r="67" spans="2:16" ht="34.5" thickBot="1" x14ac:dyDescent="0.25">
      <c r="B67" s="127" t="s">
        <v>103</v>
      </c>
      <c r="C67" s="127" t="s">
        <v>104</v>
      </c>
      <c r="D67" s="127">
        <v>34</v>
      </c>
      <c r="E67" s="127" t="s">
        <v>105</v>
      </c>
      <c r="F67" s="127" t="s">
        <v>106</v>
      </c>
      <c r="G67" s="127" t="s">
        <v>107</v>
      </c>
      <c r="H67" s="127">
        <v>2016</v>
      </c>
      <c r="I67" s="127">
        <v>131.62799999999999</v>
      </c>
      <c r="J67" s="128">
        <v>120.08</v>
      </c>
      <c r="K67" s="127">
        <v>0.9123</v>
      </c>
      <c r="L67" s="127">
        <v>3.4751999999999998E-2</v>
      </c>
      <c r="M67" s="127">
        <v>4.173</v>
      </c>
      <c r="N67" s="129">
        <v>42752</v>
      </c>
      <c r="O67" s="130"/>
      <c r="P67" s="176"/>
    </row>
    <row r="68" spans="2:16" x14ac:dyDescent="0.2">
      <c r="B68" s="135"/>
      <c r="C68" s="135"/>
      <c r="D68" s="135"/>
      <c r="E68" s="135"/>
      <c r="F68" s="135"/>
      <c r="G68" s="135"/>
      <c r="H68" s="135"/>
      <c r="I68" s="135"/>
      <c r="J68" s="135"/>
      <c r="K68" s="135"/>
      <c r="L68" s="135"/>
      <c r="M68" s="135"/>
      <c r="N68" s="135"/>
      <c r="O68" s="135"/>
      <c r="P68" s="176"/>
    </row>
    <row r="69" spans="2:16" ht="12.75" customHeight="1" x14ac:dyDescent="0.2">
      <c r="B69" s="175" t="s">
        <v>108</v>
      </c>
      <c r="C69" s="175"/>
      <c r="D69" s="175"/>
      <c r="E69" s="175"/>
      <c r="F69" s="175"/>
      <c r="G69" s="175"/>
      <c r="H69" s="175"/>
      <c r="I69" s="175"/>
      <c r="J69" s="175"/>
      <c r="K69" s="175"/>
      <c r="L69" s="175"/>
      <c r="M69" s="175"/>
      <c r="N69" s="175"/>
      <c r="O69" s="175"/>
      <c r="P69" s="176"/>
    </row>
    <row r="70" spans="2:16" ht="12.75" customHeight="1" x14ac:dyDescent="0.2">
      <c r="B70" s="175" t="s">
        <v>109</v>
      </c>
      <c r="C70" s="175"/>
      <c r="D70" s="175"/>
      <c r="E70" s="175"/>
      <c r="F70" s="175"/>
      <c r="G70" s="175"/>
      <c r="H70" s="175"/>
      <c r="I70" s="175"/>
      <c r="J70" s="175"/>
      <c r="K70" s="175"/>
      <c r="L70" s="175"/>
      <c r="M70" s="175"/>
      <c r="N70" s="175"/>
      <c r="O70" s="175"/>
      <c r="P70" s="176"/>
    </row>
    <row r="71" spans="2:16" ht="25.5" customHeight="1" x14ac:dyDescent="0.2">
      <c r="B71" s="175" t="s">
        <v>110</v>
      </c>
      <c r="C71" s="175"/>
      <c r="D71" s="175"/>
      <c r="E71" s="175"/>
      <c r="F71" s="175"/>
      <c r="G71" s="175"/>
      <c r="H71" s="175"/>
      <c r="I71" s="175"/>
      <c r="J71" s="175"/>
      <c r="K71" s="175"/>
      <c r="L71" s="175"/>
      <c r="M71" s="175"/>
      <c r="N71" s="175"/>
      <c r="O71" s="175"/>
      <c r="P71" s="176"/>
    </row>
    <row r="72" spans="2:16" ht="12.75" customHeight="1" x14ac:dyDescent="0.2">
      <c r="B72" s="175" t="s">
        <v>111</v>
      </c>
      <c r="C72" s="175"/>
      <c r="D72" s="175"/>
      <c r="E72" s="175"/>
      <c r="F72" s="175"/>
      <c r="G72" s="175"/>
      <c r="H72" s="175"/>
      <c r="I72" s="175"/>
      <c r="J72" s="175"/>
      <c r="K72" s="175"/>
      <c r="L72" s="175"/>
      <c r="M72" s="175"/>
      <c r="N72" s="175"/>
      <c r="O72" s="175"/>
      <c r="P72" s="176"/>
    </row>
    <row r="73" spans="2:16" ht="25.5" customHeight="1" x14ac:dyDescent="0.2">
      <c r="B73" s="175" t="s">
        <v>112</v>
      </c>
      <c r="C73" s="175"/>
      <c r="D73" s="175"/>
      <c r="E73" s="175"/>
      <c r="F73" s="175"/>
      <c r="G73" s="175"/>
      <c r="H73" s="175"/>
      <c r="I73" s="175"/>
      <c r="J73" s="175"/>
      <c r="K73" s="175"/>
      <c r="L73" s="175"/>
      <c r="M73" s="175"/>
      <c r="N73" s="175"/>
      <c r="O73" s="175"/>
      <c r="P73" s="176"/>
    </row>
    <row r="74" spans="2:16" ht="12.75" customHeight="1" x14ac:dyDescent="0.2">
      <c r="B74" s="175" t="s">
        <v>113</v>
      </c>
      <c r="C74" s="175"/>
      <c r="D74" s="175"/>
      <c r="E74" s="175"/>
      <c r="F74" s="175"/>
      <c r="G74" s="175"/>
      <c r="H74" s="175"/>
      <c r="I74" s="175"/>
      <c r="J74" s="175"/>
      <c r="K74" s="175"/>
      <c r="L74" s="175"/>
      <c r="M74" s="175"/>
      <c r="N74" s="175"/>
      <c r="O74" s="175"/>
      <c r="P74" s="176"/>
    </row>
    <row r="75" spans="2:16" ht="12.75" customHeight="1" x14ac:dyDescent="0.2">
      <c r="B75" s="175" t="s">
        <v>114</v>
      </c>
      <c r="C75" s="175"/>
      <c r="D75" s="175"/>
      <c r="E75" s="175"/>
      <c r="F75" s="175"/>
      <c r="G75" s="175"/>
      <c r="H75" s="175"/>
      <c r="I75" s="175"/>
      <c r="J75" s="175"/>
      <c r="K75" s="175"/>
      <c r="L75" s="175"/>
      <c r="M75" s="175"/>
      <c r="N75" s="175"/>
      <c r="O75" s="175"/>
      <c r="P75" s="176"/>
    </row>
    <row r="76" spans="2:16" ht="12.75" customHeight="1" x14ac:dyDescent="0.2">
      <c r="B76" s="175" t="s">
        <v>115</v>
      </c>
      <c r="C76" s="175"/>
      <c r="D76" s="175"/>
      <c r="E76" s="175"/>
      <c r="F76" s="175"/>
      <c r="G76" s="175"/>
      <c r="H76" s="175"/>
      <c r="I76" s="175"/>
      <c r="J76" s="175"/>
      <c r="K76" s="175"/>
      <c r="L76" s="175"/>
      <c r="M76" s="175"/>
      <c r="N76" s="175"/>
      <c r="O76" s="175"/>
      <c r="P76" s="176"/>
    </row>
    <row r="77" spans="2:16" ht="12.75" customHeight="1" x14ac:dyDescent="0.2">
      <c r="B77" s="175" t="s">
        <v>116</v>
      </c>
      <c r="C77" s="175"/>
      <c r="D77" s="175"/>
      <c r="E77" s="175"/>
      <c r="F77" s="175"/>
      <c r="G77" s="175"/>
      <c r="H77" s="175"/>
      <c r="I77" s="175"/>
      <c r="J77" s="175"/>
      <c r="K77" s="175"/>
      <c r="L77" s="175"/>
      <c r="M77" s="175"/>
      <c r="N77" s="175"/>
      <c r="O77" s="175"/>
      <c r="P77" s="176"/>
    </row>
    <row r="78" spans="2:16" ht="25.5" customHeight="1" x14ac:dyDescent="0.2">
      <c r="B78" s="175" t="s">
        <v>117</v>
      </c>
      <c r="C78" s="175"/>
      <c r="D78" s="175"/>
      <c r="E78" s="175"/>
      <c r="F78" s="175"/>
      <c r="G78" s="175"/>
      <c r="H78" s="175"/>
      <c r="I78" s="175"/>
      <c r="J78" s="175"/>
      <c r="K78" s="175"/>
      <c r="L78" s="175"/>
      <c r="M78" s="175"/>
      <c r="N78" s="175"/>
      <c r="O78" s="175"/>
      <c r="P78" s="176"/>
    </row>
    <row r="79" spans="2:16" ht="12.75" customHeight="1" x14ac:dyDescent="0.2">
      <c r="B79" s="175" t="s">
        <v>118</v>
      </c>
      <c r="C79" s="175"/>
      <c r="D79" s="175"/>
      <c r="E79" s="175"/>
      <c r="F79" s="175"/>
      <c r="G79" s="175"/>
      <c r="H79" s="175"/>
      <c r="I79" s="175"/>
      <c r="J79" s="175"/>
      <c r="K79" s="175"/>
      <c r="L79" s="175"/>
      <c r="M79" s="175"/>
      <c r="N79" s="175"/>
      <c r="O79" s="175"/>
      <c r="P79" s="176"/>
    </row>
    <row r="80" spans="2:16" ht="12.75" customHeight="1" x14ac:dyDescent="0.2">
      <c r="B80" s="175" t="s">
        <v>119</v>
      </c>
      <c r="C80" s="175"/>
      <c r="D80" s="175"/>
      <c r="E80" s="175"/>
      <c r="F80" s="175"/>
      <c r="G80" s="175"/>
      <c r="H80" s="175"/>
      <c r="I80" s="175"/>
      <c r="J80" s="175"/>
      <c r="K80" s="175"/>
      <c r="L80" s="175"/>
      <c r="M80" s="175"/>
      <c r="N80" s="175"/>
      <c r="O80" s="175"/>
      <c r="P80" s="176"/>
    </row>
    <row r="81" spans="2:16" ht="12.75" customHeight="1" x14ac:dyDescent="0.2">
      <c r="B81" s="175" t="s">
        <v>120</v>
      </c>
      <c r="C81" s="175"/>
      <c r="D81" s="175"/>
      <c r="E81" s="175"/>
      <c r="F81" s="175"/>
      <c r="G81" s="175"/>
      <c r="H81" s="175"/>
      <c r="I81" s="175"/>
      <c r="J81" s="175"/>
      <c r="K81" s="175"/>
      <c r="L81" s="175"/>
      <c r="M81" s="175"/>
      <c r="N81" s="175"/>
      <c r="O81" s="175"/>
      <c r="P81" s="176"/>
    </row>
    <row r="82" spans="2:16" x14ac:dyDescent="0.2">
      <c r="B82" s="175"/>
      <c r="C82" s="175"/>
      <c r="D82" s="175"/>
      <c r="E82" s="175"/>
      <c r="F82" s="175"/>
      <c r="G82" s="175"/>
      <c r="H82" s="175"/>
      <c r="I82" s="175"/>
      <c r="J82" s="175"/>
      <c r="K82" s="175"/>
      <c r="L82" s="175"/>
      <c r="M82" s="175"/>
      <c r="N82" s="175"/>
      <c r="O82" s="175"/>
      <c r="P82" s="176"/>
    </row>
  </sheetData>
  <mergeCells count="20">
    <mergeCell ref="B80:O80"/>
    <mergeCell ref="B81:O81"/>
    <mergeCell ref="B82:O82"/>
    <mergeCell ref="P45:P82"/>
    <mergeCell ref="B73:O73"/>
    <mergeCell ref="B74:O74"/>
    <mergeCell ref="B75:O75"/>
    <mergeCell ref="B76:O76"/>
    <mergeCell ref="B77:O77"/>
    <mergeCell ref="B78:O78"/>
    <mergeCell ref="B45:O45"/>
    <mergeCell ref="B69:O69"/>
    <mergeCell ref="B70:O70"/>
    <mergeCell ref="B71:O71"/>
    <mergeCell ref="B72:O72"/>
    <mergeCell ref="B3:O3"/>
    <mergeCell ref="H2:O2"/>
    <mergeCell ref="B43:O43"/>
    <mergeCell ref="I42:O42"/>
    <mergeCell ref="B79:O79"/>
  </mergeCells>
  <phoneticPr fontId="5" type="noConversion"/>
  <hyperlinks>
    <hyperlink ref="I42"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2016-05-25T19:20:18Z</cp:lastPrinted>
  <dcterms:created xsi:type="dcterms:W3CDTF">2007-06-11T19:03:56Z</dcterms:created>
  <dcterms:modified xsi:type="dcterms:W3CDTF">2017-08-14T12:33:45Z</dcterms:modified>
</cp:coreProperties>
</file>