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mc:AlternateContent xmlns:mc="http://schemas.openxmlformats.org/markup-compatibility/2006">
    <mc:Choice Requires="x15">
      <x15ac:absPath xmlns:x15ac="http://schemas.microsoft.com/office/spreadsheetml/2010/11/ac" url="C:\Users\robinreid\Documents\Decision Tool Updates\For New AgManager\"/>
    </mc:Choice>
  </mc:AlternateContent>
  <bookViews>
    <workbookView xWindow="360" yWindow="300" windowWidth="14850" windowHeight="9000"/>
  </bookViews>
  <sheets>
    <sheet name="Introduction" sheetId="6" r:id="rId1"/>
    <sheet name="User input" sheetId="4" r:id="rId2"/>
    <sheet name="Time and tax (TT)" sheetId="5" r:id="rId3"/>
    <sheet name="Analysis summary" sheetId="1" r:id="rId4"/>
  </sheets>
  <externalReferences>
    <externalReference r:id="rId5"/>
  </externalReferences>
  <definedNames>
    <definedName name="data">[1]kcd!$B$10:$AZ$1374</definedName>
    <definedName name="_xlnm.Print_Area" localSheetId="0">Introduction!$A$1:$M$56</definedName>
    <definedName name="solver_adj" localSheetId="1" hidden="1">'User input'!$F$28</definedName>
    <definedName name="solver_cvg" localSheetId="1" hidden="1">0.0001</definedName>
    <definedName name="solver_drv" localSheetId="1" hidden="1">1</definedName>
    <definedName name="solver_est" localSheetId="1" hidden="1">1</definedName>
    <definedName name="solver_itr" localSheetId="1" hidden="1">100</definedName>
    <definedName name="solver_lin" localSheetId="1" hidden="1">2</definedName>
    <definedName name="solver_neg" localSheetId="1" hidden="1">2</definedName>
    <definedName name="solver_num" localSheetId="1" hidden="1">0</definedName>
    <definedName name="solver_nwt" localSheetId="1" hidden="1">1</definedName>
    <definedName name="solver_opt" localSheetId="1" hidden="1">'User input'!$F$31</definedName>
    <definedName name="solver_pre" localSheetId="1" hidden="1">0.000001</definedName>
    <definedName name="solver_scl" localSheetId="1" hidden="1">2</definedName>
    <definedName name="solver_sho" localSheetId="1" hidden="1">2</definedName>
    <definedName name="solver_tim" localSheetId="1" hidden="1">100</definedName>
    <definedName name="solver_tol" localSheetId="1" hidden="1">0.05</definedName>
    <definedName name="solver_typ" localSheetId="1" hidden="1">3</definedName>
    <definedName name="solver_val" localSheetId="1" hidden="1">300</definedName>
    <definedName name="Z_7F8F69BA_F1D1_4483_B535_1A9BCCCC12B7_.wvu.PrintArea" localSheetId="0" hidden="1">Introduction!$B$2:$L$45</definedName>
    <definedName name="Z_7F8F69BA_F1D1_4483_B535_1A9BCCCC12B7_.wvu.Rows" localSheetId="0" hidden="1">Introduction!#REF!</definedName>
  </definedNames>
  <calcPr calcId="152511"/>
</workbook>
</file>

<file path=xl/calcChain.xml><?xml version="1.0" encoding="utf-8"?>
<calcChain xmlns="http://schemas.openxmlformats.org/spreadsheetml/2006/main">
  <c r="H21" i="4" l="1"/>
  <c r="L14" i="4"/>
  <c r="K14" i="4"/>
  <c r="J14" i="4"/>
  <c r="I14" i="4"/>
  <c r="H14" i="4"/>
  <c r="G14" i="4"/>
  <c r="F22" i="4"/>
  <c r="L22" i="4"/>
  <c r="L23" i="4"/>
  <c r="J13" i="5"/>
  <c r="F14" i="4"/>
  <c r="L17" i="4"/>
  <c r="L12" i="5"/>
  <c r="M12" i="5"/>
  <c r="N12" i="5"/>
  <c r="O12" i="5"/>
  <c r="Q12" i="5"/>
  <c r="R12" i="5"/>
  <c r="I12" i="5"/>
  <c r="B13" i="5"/>
  <c r="D12" i="5"/>
  <c r="E12" i="5"/>
  <c r="P12" i="5"/>
  <c r="F27" i="4"/>
  <c r="F29" i="4"/>
  <c r="F41" i="4"/>
  <c r="F42" i="4"/>
  <c r="L33" i="4"/>
  <c r="M41" i="4"/>
  <c r="H12" i="5"/>
  <c r="G12" i="5"/>
  <c r="I36" i="5"/>
  <c r="I35" i="5"/>
  <c r="E5" i="1"/>
  <c r="D30" i="1"/>
  <c r="E6" i="1"/>
  <c r="E7" i="1"/>
  <c r="E8" i="1"/>
  <c r="E10" i="1"/>
  <c r="L13" i="5"/>
  <c r="N13" i="5"/>
  <c r="F31" i="4"/>
  <c r="E9" i="1"/>
  <c r="E20" i="1"/>
  <c r="F20" i="1"/>
  <c r="F36" i="4"/>
  <c r="L39" i="4"/>
  <c r="E25" i="1"/>
  <c r="D13" i="5"/>
  <c r="D14" i="5"/>
  <c r="B14" i="5"/>
  <c r="E13" i="5"/>
  <c r="F13" i="5"/>
  <c r="M13" i="5"/>
  <c r="I13" i="5"/>
  <c r="L34" i="4"/>
  <c r="L35" i="4"/>
  <c r="C12" i="5"/>
  <c r="F12" i="5"/>
  <c r="F45" i="4"/>
  <c r="G13" i="5"/>
  <c r="C13" i="5"/>
  <c r="M14" i="5"/>
  <c r="N14" i="5"/>
  <c r="B15" i="5"/>
  <c r="L14" i="5"/>
  <c r="G14" i="5"/>
  <c r="C14" i="5"/>
  <c r="F25" i="1"/>
  <c r="G25" i="1"/>
  <c r="E19" i="1"/>
  <c r="G19" i="1"/>
  <c r="G20" i="1"/>
  <c r="C15" i="5"/>
  <c r="M15" i="5"/>
  <c r="L15" i="5"/>
  <c r="B16" i="5"/>
  <c r="O13" i="5"/>
  <c r="S13" i="5"/>
  <c r="T13" i="5"/>
  <c r="U13" i="5"/>
  <c r="H13" i="5"/>
  <c r="O14" i="5"/>
  <c r="P13" i="5"/>
  <c r="Q13" i="5"/>
  <c r="R13" i="5"/>
  <c r="E14" i="5"/>
  <c r="I14" i="5"/>
  <c r="J12" i="5"/>
  <c r="N15" i="5"/>
  <c r="D15" i="5"/>
  <c r="F19" i="1"/>
  <c r="F15" i="5"/>
  <c r="H16" i="5"/>
  <c r="K12" i="5"/>
  <c r="K13" i="5"/>
  <c r="S12" i="5"/>
  <c r="T12" i="5"/>
  <c r="U12" i="5"/>
  <c r="P14" i="5"/>
  <c r="Q14" i="5"/>
  <c r="R14" i="5"/>
  <c r="F14" i="5"/>
  <c r="C16" i="5"/>
  <c r="E16" i="5"/>
  <c r="N16" i="5"/>
  <c r="G16" i="5"/>
  <c r="L16" i="5"/>
  <c r="P16" i="5"/>
  <c r="Q16" i="5"/>
  <c r="R16" i="5"/>
  <c r="M16" i="5"/>
  <c r="D16" i="5"/>
  <c r="F16" i="5"/>
  <c r="B17" i="5"/>
  <c r="I15" i="5"/>
  <c r="J15" i="5"/>
  <c r="J14" i="5"/>
  <c r="S14" i="5"/>
  <c r="T14" i="5"/>
  <c r="U14" i="5"/>
  <c r="E15" i="5"/>
  <c r="P15" i="5"/>
  <c r="Q15" i="5"/>
  <c r="R15" i="5"/>
  <c r="S15" i="5"/>
  <c r="I16" i="5"/>
  <c r="J16" i="5"/>
  <c r="I17" i="5"/>
  <c r="O17" i="5"/>
  <c r="G17" i="5"/>
  <c r="D17" i="5"/>
  <c r="B18" i="5"/>
  <c r="E17" i="5"/>
  <c r="P17" i="5"/>
  <c r="Q17" i="5"/>
  <c r="R17" i="5"/>
  <c r="C17" i="5"/>
  <c r="F17" i="5"/>
  <c r="H17" i="5"/>
  <c r="N17" i="5"/>
  <c r="J17" i="5"/>
  <c r="S17" i="5"/>
  <c r="M17" i="5"/>
  <c r="L17" i="5"/>
  <c r="T17" i="5"/>
  <c r="U17" i="5"/>
  <c r="H15" i="5"/>
  <c r="H14" i="5"/>
  <c r="G15" i="5"/>
  <c r="O15" i="5"/>
  <c r="O16" i="5"/>
  <c r="K14" i="5"/>
  <c r="K15" i="5"/>
  <c r="K16" i="5"/>
  <c r="K17" i="5"/>
  <c r="G18" i="5"/>
  <c r="E18" i="5"/>
  <c r="P18" i="5"/>
  <c r="L18" i="5"/>
  <c r="T18" i="5"/>
  <c r="U18" i="5"/>
  <c r="M18" i="5"/>
  <c r="D18" i="5"/>
  <c r="F18" i="5"/>
  <c r="H18" i="5"/>
  <c r="N18" i="5"/>
  <c r="O18" i="5"/>
  <c r="J18" i="5"/>
  <c r="S18" i="5"/>
  <c r="K18" i="5"/>
  <c r="C18" i="5"/>
  <c r="Q18" i="5"/>
  <c r="R18" i="5"/>
  <c r="B19" i="5"/>
  <c r="I18" i="5"/>
  <c r="T15" i="5"/>
  <c r="U15" i="5"/>
  <c r="S16" i="5"/>
  <c r="T16" i="5"/>
  <c r="U16" i="5"/>
  <c r="M19" i="5"/>
  <c r="B20" i="5"/>
  <c r="O19" i="5"/>
  <c r="G19" i="5"/>
  <c r="E19" i="5"/>
  <c r="P19" i="5"/>
  <c r="Q19" i="5"/>
  <c r="R19" i="5"/>
  <c r="I19" i="5"/>
  <c r="D19" i="5"/>
  <c r="F19" i="5"/>
  <c r="L19" i="5"/>
  <c r="J19" i="5"/>
  <c r="K19" i="5"/>
  <c r="C19" i="5"/>
  <c r="H19" i="5"/>
  <c r="N19" i="5"/>
  <c r="S19" i="5"/>
  <c r="P20" i="5"/>
  <c r="E20" i="5"/>
  <c r="Q20" i="5"/>
  <c r="C20" i="5"/>
  <c r="F20" i="5"/>
  <c r="U20" i="5"/>
  <c r="H20" i="5"/>
  <c r="S20" i="5"/>
  <c r="O20" i="5"/>
  <c r="J20" i="5"/>
  <c r="M20" i="5"/>
  <c r="I20" i="5"/>
  <c r="D20" i="5"/>
  <c r="R20" i="5"/>
  <c r="N20" i="5"/>
  <c r="K20" i="5"/>
  <c r="L20" i="5"/>
  <c r="G20" i="5"/>
  <c r="B21" i="5"/>
  <c r="T20" i="5"/>
  <c r="E21" i="5"/>
  <c r="O21" i="5"/>
  <c r="Q21" i="5"/>
  <c r="H21" i="5"/>
  <c r="R21" i="5"/>
  <c r="K21" i="5"/>
  <c r="C21" i="5"/>
  <c r="M21" i="5"/>
  <c r="J21" i="5"/>
  <c r="G21" i="5"/>
  <c r="D21" i="5"/>
  <c r="F21" i="5"/>
  <c r="T21" i="5"/>
  <c r="P21" i="5"/>
  <c r="I21" i="5"/>
  <c r="B22" i="5"/>
  <c r="L21" i="5"/>
  <c r="S21" i="5"/>
  <c r="N21" i="5"/>
  <c r="U21" i="5"/>
  <c r="T19" i="5"/>
  <c r="U19" i="5"/>
  <c r="C22" i="5"/>
  <c r="J22" i="5"/>
  <c r="K22" i="5"/>
  <c r="U22" i="5"/>
  <c r="N22" i="5"/>
  <c r="H22" i="5"/>
  <c r="P22" i="5"/>
  <c r="O22" i="5"/>
  <c r="S22" i="5"/>
  <c r="F22" i="5"/>
  <c r="B23" i="5"/>
  <c r="Q22" i="5"/>
  <c r="I22" i="5"/>
  <c r="T22" i="5"/>
  <c r="M22" i="5"/>
  <c r="L22" i="5"/>
  <c r="D22" i="5"/>
  <c r="G22" i="5"/>
  <c r="E22" i="5"/>
  <c r="R22" i="5"/>
  <c r="Q23" i="5"/>
  <c r="F23" i="5"/>
  <c r="B24" i="5"/>
  <c r="C23" i="5"/>
  <c r="J23" i="5"/>
  <c r="O23" i="5"/>
  <c r="D23" i="5"/>
  <c r="S23" i="5"/>
  <c r="R23" i="5"/>
  <c r="M23" i="5"/>
  <c r="T23" i="5"/>
  <c r="I23" i="5"/>
  <c r="N23" i="5"/>
  <c r="E23" i="5"/>
  <c r="K23" i="5"/>
  <c r="G23" i="5"/>
  <c r="U23" i="5"/>
  <c r="P23" i="5"/>
  <c r="L23" i="5"/>
  <c r="H23" i="5"/>
  <c r="B25" i="5"/>
  <c r="D24" i="5"/>
  <c r="Q24" i="5"/>
  <c r="U24" i="5"/>
  <c r="N24" i="5"/>
  <c r="O24" i="5"/>
  <c r="J24" i="5"/>
  <c r="P24" i="5"/>
  <c r="I24" i="5"/>
  <c r="L24" i="5"/>
  <c r="E24" i="5"/>
  <c r="H24" i="5"/>
  <c r="S24" i="5"/>
  <c r="T24" i="5"/>
  <c r="C24" i="5"/>
  <c r="K24" i="5"/>
  <c r="F24" i="5"/>
  <c r="G24" i="5"/>
  <c r="R24" i="5"/>
  <c r="M24" i="5"/>
  <c r="P25" i="5"/>
  <c r="U25" i="5"/>
  <c r="F25" i="5"/>
  <c r="I25" i="5"/>
  <c r="E25" i="5"/>
  <c r="N25" i="5"/>
  <c r="T25" i="5"/>
  <c r="S25" i="5"/>
  <c r="C25" i="5"/>
  <c r="L25" i="5"/>
  <c r="M25" i="5"/>
  <c r="H25" i="5"/>
  <c r="B26" i="5"/>
  <c r="Q25" i="5"/>
  <c r="G25" i="5"/>
  <c r="J25" i="5"/>
  <c r="D25" i="5"/>
  <c r="R25" i="5"/>
  <c r="K25" i="5"/>
  <c r="O25" i="5"/>
  <c r="D26" i="5"/>
  <c r="Q26" i="5"/>
  <c r="N26" i="5"/>
  <c r="I26" i="5"/>
  <c r="O26" i="5"/>
  <c r="M26" i="5"/>
  <c r="L26" i="5"/>
  <c r="P26" i="5"/>
  <c r="E26" i="5"/>
  <c r="J26" i="5"/>
  <c r="R26" i="5"/>
  <c r="G26" i="5"/>
  <c r="C26" i="5"/>
  <c r="B27" i="5"/>
  <c r="T26" i="5"/>
  <c r="F26" i="5"/>
  <c r="U26" i="5"/>
  <c r="H26" i="5"/>
  <c r="K26" i="5"/>
  <c r="S26" i="5"/>
  <c r="C27" i="5"/>
  <c r="G27" i="5"/>
  <c r="F27" i="5"/>
  <c r="I27" i="5"/>
  <c r="U27" i="5"/>
  <c r="B28" i="5"/>
  <c r="L27" i="5"/>
  <c r="K27" i="5"/>
  <c r="S27" i="5"/>
  <c r="O27" i="5"/>
  <c r="P27" i="5"/>
  <c r="N27" i="5"/>
  <c r="M27" i="5"/>
  <c r="J27" i="5"/>
  <c r="H27" i="5"/>
  <c r="T27" i="5"/>
  <c r="Q27" i="5"/>
  <c r="R27" i="5"/>
  <c r="R9" i="5"/>
  <c r="D27" i="5"/>
  <c r="E27" i="5"/>
  <c r="I28" i="5"/>
  <c r="J28" i="5"/>
  <c r="S28" i="5"/>
  <c r="F28" i="5"/>
  <c r="M28" i="5"/>
  <c r="N28" i="5"/>
  <c r="L28" i="5"/>
  <c r="B29" i="5"/>
  <c r="T28" i="5"/>
  <c r="D28" i="5"/>
  <c r="G28" i="5"/>
  <c r="R28" i="5"/>
  <c r="U28" i="5"/>
  <c r="O28" i="5"/>
  <c r="Q28" i="5"/>
  <c r="E28" i="5"/>
  <c r="K28" i="5"/>
  <c r="C28" i="5"/>
  <c r="H28" i="5"/>
  <c r="P28" i="5"/>
  <c r="S29" i="5"/>
  <c r="F29" i="5"/>
  <c r="I29" i="5"/>
  <c r="D29" i="5"/>
  <c r="C29" i="5"/>
  <c r="T29" i="5"/>
  <c r="M29" i="5"/>
  <c r="O29" i="5"/>
  <c r="B30" i="5"/>
  <c r="H29" i="5"/>
  <c r="K29" i="5"/>
  <c r="J29" i="5"/>
  <c r="U29" i="5"/>
  <c r="E29" i="5"/>
  <c r="R29" i="5"/>
  <c r="P29" i="5"/>
  <c r="Q29" i="5"/>
  <c r="L29" i="5"/>
  <c r="G29" i="5"/>
  <c r="N29" i="5"/>
  <c r="B31" i="5"/>
  <c r="J30" i="5"/>
  <c r="L30" i="5"/>
  <c r="N30" i="5"/>
  <c r="R30" i="5"/>
  <c r="T30" i="5"/>
  <c r="C30" i="5"/>
  <c r="M30" i="5"/>
  <c r="K30" i="5"/>
  <c r="U30" i="5"/>
  <c r="D30" i="5"/>
  <c r="H30" i="5"/>
  <c r="F30" i="5"/>
  <c r="S30" i="5"/>
  <c r="O30" i="5"/>
  <c r="Q30" i="5"/>
  <c r="E30" i="5"/>
  <c r="G30" i="5"/>
  <c r="P30" i="5"/>
  <c r="I30" i="5"/>
  <c r="O31" i="5"/>
  <c r="J31" i="5"/>
  <c r="N31" i="5"/>
  <c r="G31" i="5"/>
  <c r="M31" i="5"/>
  <c r="T31" i="5"/>
  <c r="S31" i="5"/>
  <c r="P31" i="5"/>
  <c r="D31" i="5"/>
  <c r="Q31" i="5"/>
  <c r="K31" i="5"/>
  <c r="I31" i="5"/>
  <c r="L31" i="5"/>
  <c r="B32" i="5"/>
  <c r="H31" i="5"/>
  <c r="F31" i="5"/>
  <c r="R31" i="5"/>
  <c r="U31" i="5"/>
  <c r="E31" i="5"/>
  <c r="C31" i="5"/>
  <c r="L32" i="5"/>
  <c r="G32" i="5"/>
  <c r="S32" i="5"/>
  <c r="F32" i="5"/>
  <c r="M32" i="5"/>
  <c r="H32" i="5"/>
  <c r="I32" i="5"/>
  <c r="R32" i="5"/>
  <c r="K32" i="5"/>
  <c r="Q32" i="5"/>
  <c r="O32" i="5"/>
  <c r="C32" i="5"/>
  <c r="D32" i="5"/>
  <c r="J32" i="5"/>
  <c r="E32" i="5"/>
  <c r="N32" i="5"/>
  <c r="U32" i="5"/>
  <c r="U4" i="5"/>
  <c r="L41" i="4"/>
  <c r="L42" i="4"/>
  <c r="L43" i="4"/>
  <c r="L47" i="4" s="1"/>
  <c r="E21" i="1" s="1"/>
  <c r="T32" i="5"/>
  <c r="P32" i="5"/>
  <c r="Q6" i="5"/>
  <c r="G6" i="5"/>
  <c r="O6" i="5"/>
  <c r="H6" i="5"/>
  <c r="H7" i="5"/>
  <c r="G7" i="5"/>
  <c r="O7" i="5"/>
  <c r="Q7" i="5"/>
  <c r="G21" i="1" l="1"/>
  <c r="F21" i="1"/>
  <c r="L46" i="4"/>
  <c r="E18" i="1" s="1"/>
  <c r="L45" i="4"/>
  <c r="E17" i="1" s="1"/>
  <c r="L44" i="4"/>
  <c r="E16" i="1" s="1"/>
  <c r="F17" i="1" l="1"/>
  <c r="G17" i="1"/>
  <c r="F18" i="1"/>
  <c r="G18" i="1"/>
  <c r="E23" i="1"/>
  <c r="E27" i="1" s="1"/>
  <c r="G16" i="1"/>
  <c r="F16" i="1"/>
  <c r="F23" i="1" s="1"/>
  <c r="F27" i="1" s="1"/>
  <c r="G23" i="1" l="1"/>
  <c r="G27" i="1" s="1"/>
</calcChain>
</file>

<file path=xl/comments1.xml><?xml version="1.0" encoding="utf-8"?>
<comments xmlns="http://schemas.openxmlformats.org/spreadsheetml/2006/main">
  <authors>
    <author>dhuyvetter</author>
  </authors>
  <commentList>
    <comment ref="B6" authorId="0" shapeId="0">
      <text>
        <r>
          <rPr>
            <sz val="10"/>
            <color indexed="81"/>
            <rFont val="Tahoma"/>
            <family val="2"/>
          </rPr>
          <t>Sprayer classes broadly represent sprayers in each of several categories. SS means stainless steel tank (vs. poly) and the number following the boom is the boom width in feet.</t>
        </r>
      </text>
    </comment>
    <comment ref="F16" authorId="0" shapeId="0">
      <text>
        <r>
          <rPr>
            <sz val="10"/>
            <color indexed="81"/>
            <rFont val="Tahoma"/>
            <family val="2"/>
          </rPr>
          <t xml:space="preserve">Enter the sprayer class as 1-7 (see classes above) that most closely fits the sprayer being considered.  For sprayer classes not explicitly considered, enter the class that is the most like the sprayer being considered.
</t>
        </r>
      </text>
    </comment>
    <comment ref="L16" authorId="0" shapeId="0">
      <text>
        <r>
          <rPr>
            <sz val="10"/>
            <color indexed="81"/>
            <rFont val="Tahoma"/>
            <family val="2"/>
          </rPr>
          <t xml:space="preserve">Enter a bank interest rate that you would expect on borrowed capital.  This value will represent the rate of return charged on equity capital as well and is used to discount future costs.
</t>
        </r>
      </text>
    </comment>
    <comment ref="F18" authorId="0" shapeId="0">
      <text>
        <r>
          <rPr>
            <sz val="10"/>
            <color indexed="81"/>
            <rFont val="Arial"/>
            <family val="2"/>
          </rPr>
          <t>Hours currently on the sprayer.  Typically, used sprayers will have 200-400 hours per year of age.</t>
        </r>
      </text>
    </comment>
    <comment ref="L18" authorId="0" shapeId="0">
      <text>
        <r>
          <rPr>
            <sz val="10"/>
            <color indexed="81"/>
            <rFont val="Tahoma"/>
            <family val="2"/>
          </rPr>
          <t xml:space="preserve">Enter your marginal federal and state income tax rate.  Federal income tax rates for sole proprietors are either 15% or 28% with state rates around 4% to 5%. 
</t>
        </r>
      </text>
    </comment>
    <comment ref="F19" authorId="0" shapeId="0">
      <text>
        <r>
          <rPr>
            <sz val="10"/>
            <color indexed="81"/>
            <rFont val="Tahoma"/>
            <family val="2"/>
          </rPr>
          <t xml:space="preserve">Enter the dollar amount expected to be paid for the sprayer being considered without a trade-in.
</t>
        </r>
      </text>
    </comment>
    <comment ref="L19" authorId="0" shapeId="0">
      <text>
        <r>
          <rPr>
            <sz val="10"/>
            <color indexed="81"/>
            <rFont val="Tahoma"/>
            <family val="2"/>
          </rPr>
          <t xml:space="preserve">Enter the self-employment tax (currently 15.3%).
</t>
        </r>
      </text>
    </comment>
    <comment ref="F20" authorId="0" shapeId="0">
      <text>
        <r>
          <rPr>
            <sz val="10"/>
            <color indexed="81"/>
            <rFont val="Tahoma"/>
            <family val="2"/>
          </rPr>
          <t xml:space="preserve">Enter an estimate of the market value of the sprayer being considered.  Typically, the purchase price and market price should be equal.  However, if you are getting a "good deal" the purchase price might lower than the market price.  Likewise, if you are purchasing a "mint condition" sprayer, the purchase price might be above the market price.
</t>
        </r>
      </text>
    </comment>
    <comment ref="L20" authorId="0" shapeId="0">
      <text>
        <r>
          <rPr>
            <sz val="10"/>
            <color indexed="81"/>
            <rFont val="Tahoma"/>
            <family val="2"/>
          </rPr>
          <t xml:space="preserve">Enter the amount of Section-179 tax deduction to be claimed, if any, on the combine being considered (the maximum value allowed is $500,000).
</t>
        </r>
      </text>
    </comment>
    <comment ref="F21" authorId="0" shapeId="0">
      <text>
        <r>
          <rPr>
            <sz val="10"/>
            <color indexed="81"/>
            <rFont val="Tahoma"/>
            <family val="2"/>
          </rPr>
          <t>Enter the cash downpayment required.  This value does not affect economic costs as interest is charged on equity as well.  However, it does impact cashflow as can be seen in the Time and Tax (TT) sheet.</t>
        </r>
      </text>
    </comment>
    <comment ref="L21" authorId="0" shapeId="0">
      <text>
        <r>
          <rPr>
            <sz val="10"/>
            <color indexed="81"/>
            <rFont val="Tahoma"/>
            <family val="2"/>
          </rPr>
          <t>A bonus first-year depreciation of 50% is allowed on new machines.  Enter a "1" if this first-year depreciation will be taken or a "0" if it will not.</t>
        </r>
      </text>
    </comment>
    <comment ref="F24" authorId="0" shapeId="0">
      <text>
        <r>
          <rPr>
            <sz val="10"/>
            <color indexed="81"/>
            <rFont val="Arial"/>
            <family val="2"/>
          </rPr>
          <t>Number of years the sprayer will be used.  If used for partial year, round to nearest whole year (minimum of one year).</t>
        </r>
      </text>
    </comment>
    <comment ref="L25" authorId="0" shapeId="0">
      <text>
        <r>
          <rPr>
            <sz val="10"/>
            <color indexed="81"/>
            <rFont val="Tahoma"/>
            <family val="2"/>
          </rPr>
          <t xml:space="preserve">Enter the depreciation rates across the years that a tractor is considered owned.  The default values represent MACRS depreciation rates for 7-year property.  If these values are changed, make sure they sum to 100%.
</t>
        </r>
      </text>
    </comment>
    <comment ref="F26" authorId="0" shapeId="0">
      <text>
        <r>
          <rPr>
            <sz val="10"/>
            <color indexed="81"/>
            <rFont val="Arial"/>
            <family val="2"/>
          </rPr>
          <t>Travel speed typically ranges from 8 to 15 mph.</t>
        </r>
      </text>
    </comment>
    <comment ref="F28" authorId="0" shapeId="0">
      <text>
        <r>
          <rPr>
            <sz val="10"/>
            <color indexed="81"/>
            <rFont val="Arial"/>
            <family val="2"/>
          </rPr>
          <t xml:space="preserve">Expected efficiency typically ranges from 20 to 60 percent.  If annual hours are known, enter the efficiency that gives annual hours. </t>
        </r>
      </text>
    </comment>
    <comment ref="F30" authorId="0" shapeId="0">
      <text>
        <r>
          <rPr>
            <sz val="10"/>
            <color indexed="81"/>
            <rFont val="Arial"/>
            <family val="2"/>
          </rPr>
          <t>Practical upper limits are often between 15 and 25 thousand acres.</t>
        </r>
      </text>
    </comment>
    <comment ref="F34" authorId="0" shapeId="0">
      <text>
        <r>
          <rPr>
            <sz val="10"/>
            <color indexed="81"/>
            <rFont val="Tahoma"/>
            <family val="2"/>
          </rPr>
          <t>Enter an estimate for the labor efficiency associated with the sprayer only (i.e., do not include labor associated with tendering operations).  A value of 1.0 would indicate that the only labor associated with the sprayer is when the engine is running.  A value of 1.25 would indicate that for every hour the sprayer engine is running, an additional 15 minutes (60 x 0.25) of labor are required.  A suggested range is 1.1 to 1.5.</t>
        </r>
      </text>
    </comment>
    <comment ref="F38" authorId="0" shapeId="0">
      <text>
        <r>
          <rPr>
            <sz val="10"/>
            <color indexed="81"/>
            <rFont val="Tahoma"/>
            <family val="2"/>
          </rPr>
          <t>Enter an estimate for the combine fuel consumption per engine hour as gallons/hr.</t>
        </r>
      </text>
    </comment>
    <comment ref="F40" authorId="0" shapeId="0">
      <text>
        <r>
          <rPr>
            <sz val="10"/>
            <color indexed="81"/>
            <rFont val="Arial"/>
            <family val="2"/>
          </rPr>
          <t>Typically runs between 5 and 10 percent of fuel costs.</t>
        </r>
      </text>
    </comment>
    <comment ref="F44" authorId="0" shapeId="0">
      <text>
        <r>
          <rPr>
            <sz val="10"/>
            <color indexed="81"/>
            <rFont val="Tahoma"/>
            <family val="2"/>
          </rPr>
          <t xml:space="preserve">The repair adjustment factor allows for the calculated repairs to be increased (decreased) proportionately.  For example, an RAF of 0.9 will decrease model-predicted repairs by 10% and an RAF of 1.1 will increase model-predicted repairs by 10%.
</t>
        </r>
      </text>
    </comment>
    <comment ref="F47" authorId="0" shapeId="0">
      <text>
        <r>
          <rPr>
            <sz val="10"/>
            <color indexed="81"/>
            <rFont val="Tahoma"/>
            <family val="2"/>
          </rPr>
          <t xml:space="preserve">Costs associated with property taxes, insurance, and shelter are estimated as a fixed percent of combine market value.  Assuming no property taxes, a value of approximately 1.5% is suggested.
</t>
        </r>
      </text>
    </comment>
    <comment ref="F76" authorId="0" shapeId="0">
      <text>
        <r>
          <rPr>
            <sz val="10"/>
            <color indexed="81"/>
            <rFont val="Tahoma"/>
            <family val="2"/>
          </rPr>
          <t>If want to consider a disadvantage from the market price when you trade.  That is, 0.05 would imply you always pay a trade difference that is 5% greater than that determined by the market.</t>
        </r>
      </text>
    </comment>
    <comment ref="F77" authorId="0" shapeId="0">
      <text>
        <r>
          <rPr>
            <sz val="10"/>
            <color indexed="81"/>
            <rFont val="Tahoma"/>
            <family val="2"/>
          </rPr>
          <t>Enter an amount to adjust the new equivalent price (NEP) by to get closer to list price.  This adjustment is needed because engineering repair cost formulas are based on list price.  A suggested range for this value is 1.10 to 1.25.  Generally, just leave at 1.0 for sprayer.</t>
        </r>
      </text>
    </comment>
  </commentList>
</comments>
</file>

<file path=xl/sharedStrings.xml><?xml version="1.0" encoding="utf-8"?>
<sst xmlns="http://schemas.openxmlformats.org/spreadsheetml/2006/main" count="181" uniqueCount="161">
  <si>
    <t>Sprayer age in years</t>
  </si>
  <si>
    <t>Hours on sprayer</t>
  </si>
  <si>
    <t>Calculated new equivalent price (NEP)</t>
  </si>
  <si>
    <t>Sprayer boom width in feet</t>
  </si>
  <si>
    <t>Sprayer travel speed in mph</t>
  </si>
  <si>
    <t>Calculated acres per hour at 100% efficiency</t>
  </si>
  <si>
    <t>Total acres sprayed annually</t>
  </si>
  <si>
    <t>Time and tax (TT) section</t>
  </si>
  <si>
    <t>year</t>
  </si>
  <si>
    <t>after-tax</t>
  </si>
  <si>
    <t>discount</t>
  </si>
  <si>
    <t>factor</t>
  </si>
  <si>
    <t>machine</t>
  </si>
  <si>
    <t>age</t>
  </si>
  <si>
    <t>hours</t>
  </si>
  <si>
    <t>value</t>
  </si>
  <si>
    <t>interest</t>
  </si>
  <si>
    <t>Self-employment tax (0 if corporation)</t>
  </si>
  <si>
    <t>Calculated after-tax discount rate</t>
  </si>
  <si>
    <t>Calculated after-tax amortization factor</t>
  </si>
  <si>
    <t>Calculated net $ amount to depreciate</t>
  </si>
  <si>
    <t>1st year MACRS depreciation rate</t>
  </si>
  <si>
    <t>2nd year MACRS depreciation rate</t>
  </si>
  <si>
    <t>3rd year MACRS depreciation rate</t>
  </si>
  <si>
    <t>4th year MACRS depreciation rate</t>
  </si>
  <si>
    <t>5th year MACRS depreciation rate</t>
  </si>
  <si>
    <t>6th year MACRS depreciation rate</t>
  </si>
  <si>
    <t>7th year MACRS depreciation rate</t>
  </si>
  <si>
    <t>8th year MACRS depreciation rate</t>
  </si>
  <si>
    <t>Calculated error check of depreciation rates</t>
  </si>
  <si>
    <t>Cash downpayment</t>
  </si>
  <si>
    <t>Calculated after-tax NPVc from TT section</t>
  </si>
  <si>
    <t>Calculated after-tax amortized NPV from TT</t>
  </si>
  <si>
    <t>Calculated pre-tax amortized NPV from TT</t>
  </si>
  <si>
    <t>market</t>
  </si>
  <si>
    <t>tax</t>
  </si>
  <si>
    <t>rate</t>
  </si>
  <si>
    <t>and tax</t>
  </si>
  <si>
    <t>loan</t>
  </si>
  <si>
    <t>principal</t>
  </si>
  <si>
    <t>Sprayer analysis summary section</t>
  </si>
  <si>
    <t>Analysis highlights:</t>
  </si>
  <si>
    <t>Sprayer purchase price</t>
  </si>
  <si>
    <t>Total acres covered per year</t>
  </si>
  <si>
    <t>Hours used per year</t>
  </si>
  <si>
    <t>Number of years sprayer is used</t>
  </si>
  <si>
    <t>Cost breakdown (total cost can be compared to custom rates):</t>
  </si>
  <si>
    <t>Opportunity interest</t>
  </si>
  <si>
    <t>Market depreciation</t>
  </si>
  <si>
    <t>Repair and maintenance</t>
  </si>
  <si>
    <t>Labor</t>
  </si>
  <si>
    <t>Fuel and lubrication</t>
  </si>
  <si>
    <t>Tax, insurance, &amp; shelter (TIS)</t>
  </si>
  <si>
    <t>Total for sprayer only</t>
  </si>
  <si>
    <t>Tendering cost</t>
  </si>
  <si>
    <t>Total for sprayer and tendering</t>
  </si>
  <si>
    <t>repairs</t>
  </si>
  <si>
    <t>$/year</t>
  </si>
  <si>
    <t>annual</t>
  </si>
  <si>
    <t>$/hour</t>
  </si>
  <si>
    <t>$/acre</t>
  </si>
  <si>
    <t>per acre</t>
  </si>
  <si>
    <t>savings</t>
  </si>
  <si>
    <t>net</t>
  </si>
  <si>
    <t>cash out</t>
  </si>
  <si>
    <t>discounted</t>
  </si>
  <si>
    <t>Kansas State University</t>
  </si>
  <si>
    <t>Kevin C. Dhuyvetter, Ph.D.</t>
  </si>
  <si>
    <t>EOY*</t>
  </si>
  <si>
    <t>* EOY = End of year</t>
  </si>
  <si>
    <t>After-tax net present value of costs (NPVc) =&gt;</t>
  </si>
  <si>
    <t>after-tax NPV =&gt;</t>
  </si>
  <si>
    <t>% of total =&gt;</t>
  </si>
  <si>
    <t>opp.</t>
  </si>
  <si>
    <t>est.</t>
  </si>
  <si>
    <t>deprec.</t>
  </si>
  <si>
    <t>Sec. 179</t>
  </si>
  <si>
    <t>accum.</t>
  </si>
  <si>
    <t>** TIS = Property tax, insurance, and shelter</t>
  </si>
  <si>
    <t>TIS**</t>
  </si>
  <si>
    <t>downpmt</t>
  </si>
  <si>
    <t>or sale</t>
  </si>
  <si>
    <t>Sprayer age when purchased</t>
  </si>
  <si>
    <t>Hours on sprayer when purchased</t>
  </si>
  <si>
    <t>Date of analysis =====&gt;</t>
  </si>
  <si>
    <r>
      <t>User Input and related calculations section (</t>
    </r>
    <r>
      <rPr>
        <b/>
        <sz val="10"/>
        <color indexed="12"/>
        <rFont val="Arial"/>
        <family val="2"/>
      </rPr>
      <t>blue</t>
    </r>
    <r>
      <rPr>
        <b/>
        <sz val="10"/>
        <rFont val="Arial"/>
        <family val="2"/>
      </rPr>
      <t xml:space="preserve"> shaded cells are inputs)</t>
    </r>
  </si>
  <si>
    <t>Average expected efficiency (percent)</t>
  </si>
  <si>
    <t>Calculated total hours accumulated annually</t>
  </si>
  <si>
    <t>Calculated acres per hour</t>
  </si>
  <si>
    <t>Bank interest rate (percent)</t>
  </si>
  <si>
    <t>State + U.S. marginal income tax rate (percent)</t>
  </si>
  <si>
    <t>Calculated first-year after-tax discount factor</t>
  </si>
  <si>
    <t xml:space="preserve">   Prorated to repairs</t>
  </si>
  <si>
    <t xml:space="preserve">   Prorated to tax, insurance, &amp; shelter (TIS)</t>
  </si>
  <si>
    <t xml:space="preserve">   Prorated to market depreciation</t>
  </si>
  <si>
    <t xml:space="preserve">   Prorated to opportunity interest</t>
  </si>
  <si>
    <t>Tendering cost per hour</t>
  </si>
  <si>
    <t>Tendering cost per acre</t>
  </si>
  <si>
    <t>Calculated total tendering cost per acre</t>
  </si>
  <si>
    <t>or year</t>
  </si>
  <si>
    <t>of sale</t>
  </si>
  <si>
    <t>tax basis</t>
  </si>
  <si>
    <t>Section 179 allowance</t>
  </si>
  <si>
    <t>Year</t>
  </si>
  <si>
    <t>repair factors</t>
  </si>
  <si>
    <t>100 hrs</t>
  </si>
  <si>
    <t>age*100hrs</t>
  </si>
  <si>
    <t>RF1</t>
  </si>
  <si>
    <t>RF2</t>
  </si>
  <si>
    <t>useful life</t>
  </si>
  <si>
    <t>Factors used in analysis =&gt;</t>
  </si>
  <si>
    <t>Sprayer class</t>
  </si>
  <si>
    <t>Market ding when trade</t>
  </si>
  <si>
    <t xml:space="preserve">   Repair adjustment factor (0.8 to 1.2, usually 1) (RAF)</t>
  </si>
  <si>
    <t>Repairs and maintenance</t>
  </si>
  <si>
    <t xml:space="preserve">   Repairs per hour after useful life</t>
  </si>
  <si>
    <t>Tax, insurance, &amp; shelter (TIS - % of value, decimal)</t>
  </si>
  <si>
    <t xml:space="preserve">   Labor cost per hour</t>
  </si>
  <si>
    <t xml:space="preserve">   Calculated labor cost per acre</t>
  </si>
  <si>
    <t xml:space="preserve">   Sprayer fuel consumption per hour (gallons)</t>
  </si>
  <si>
    <t xml:space="preserve">   Average fuel price ($/gal)</t>
  </si>
  <si>
    <t xml:space="preserve">   Oil and lubrication percent of fuel cost</t>
  </si>
  <si>
    <t xml:space="preserve">   Calculated fuel and lubrication cost per hour</t>
  </si>
  <si>
    <t xml:space="preserve">   Calculated fuel and lubrication cost per acre</t>
  </si>
  <si>
    <r>
      <t xml:space="preserve">   Total labor hours per sprayer </t>
    </r>
    <r>
      <rPr>
        <b/>
        <i/>
        <sz val="10"/>
        <rFont val="Arial"/>
        <family val="2"/>
      </rPr>
      <t>engine</t>
    </r>
    <r>
      <rPr>
        <b/>
        <sz val="10"/>
        <rFont val="Arial"/>
        <family val="2"/>
      </rPr>
      <t xml:space="preserve"> hour</t>
    </r>
  </si>
  <si>
    <t>Purchase price of sprayer w/o trade-in</t>
  </si>
  <si>
    <t>Market price of sprayer</t>
  </si>
  <si>
    <t>No. of seasons (years) before trade (max. 20)</t>
  </si>
  <si>
    <t>NEP adjustment to approximate list price</t>
  </si>
  <si>
    <t>CaseIH-Patriot4420tankSS1200boom90</t>
  </si>
  <si>
    <t>SpraCoupe4460tankPoly400boom80</t>
  </si>
  <si>
    <t>Information pertaining to sprayer depreciation and repairs</t>
  </si>
  <si>
    <t xml:space="preserve"> </t>
  </si>
  <si>
    <t>CaseIH-Patriot3230tankPoly750boom90</t>
  </si>
  <si>
    <t>JD4830tankSS800boom90</t>
  </si>
  <si>
    <t>JD4930tankSS1200boom90</t>
  </si>
  <si>
    <t>RoGator984HtankSS900boom90</t>
  </si>
  <si>
    <t>Extension Assistant</t>
  </si>
  <si>
    <t>Calculated bonus yr-1 depreciation</t>
  </si>
  <si>
    <t>Min age for bonus dep (new=0)</t>
  </si>
  <si>
    <t>Bonus depreciation</t>
  </si>
  <si>
    <t>Rich Llewelyn</t>
  </si>
  <si>
    <t>KSU-Own Sprayer</t>
  </si>
  <si>
    <t>An Excel spreadsheet to evaluate the economic costs of owning and operating a self-propelled crop sprayer.</t>
  </si>
  <si>
    <t>Version- 6.30.16</t>
  </si>
  <si>
    <t>INSTRUCTIONS FOR THE USER:</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</si>
  <si>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This spreadsheet uses macros to print the three different pages, however printing can also be done manually by highlighting the desired range and using the menu print commands.</t>
    </r>
  </si>
  <si>
    <r>
      <t xml:space="preserve">In the "User input" tab all </t>
    </r>
    <r>
      <rPr>
        <b/>
        <sz val="12"/>
        <color rgb="FF0070C0"/>
        <rFont val="Calibri"/>
        <family val="2"/>
        <scheme val="minor"/>
      </rPr>
      <t>blue</t>
    </r>
    <r>
      <rPr>
        <sz val="12"/>
        <rFont val="Calibri"/>
        <family val="2"/>
        <scheme val="minor"/>
      </rPr>
      <t xml:space="preserve"> numbers are inputs and all black numbers are calculated from these inputs.  Several input cells (i.e., </t>
    </r>
    <r>
      <rPr>
        <b/>
        <sz val="12"/>
        <color rgb="FF0070C0"/>
        <rFont val="Calibri"/>
        <family val="2"/>
        <scheme val="minor"/>
      </rPr>
      <t>blue number</t>
    </r>
    <r>
      <rPr>
        <sz val="12"/>
        <rFont val="Calibri"/>
        <family val="2"/>
        <scheme val="minor"/>
      </rPr>
      <t xml:space="preserve">) have a </t>
    </r>
    <r>
      <rPr>
        <b/>
        <sz val="12"/>
        <color rgb="FFC00000"/>
        <rFont val="Calibri"/>
        <family val="2"/>
        <scheme val="minor"/>
      </rPr>
      <t xml:space="preserve">red diamond </t>
    </r>
    <r>
      <rPr>
        <sz val="12"/>
        <rFont val="Calibri"/>
        <family val="2"/>
        <scheme val="minor"/>
      </rPr>
      <t>in the upper right hand corner of the cell.  By moving your mouse cursor over this diamond, a brief description of the input will be displayed on the screen.</t>
    </r>
  </si>
  <si>
    <t>FOR MORE INFORMATION:</t>
  </si>
  <si>
    <t>For explanation of the inputs used in this spreadsheet see the supporting paper:</t>
  </si>
  <si>
    <t>Evaluating Self-Propelled Sprayer Ownership with Own Sprayer Spreadsheet</t>
  </si>
  <si>
    <t>*This publication provides information on how to use the tool, however some values in the tool have been updated since the paper was written.</t>
  </si>
  <si>
    <t>With Questions contact:</t>
  </si>
  <si>
    <t>Originally Developed by:</t>
  </si>
  <si>
    <t>Former Agricultural Economist</t>
  </si>
  <si>
    <t>rvl@ksu.edu</t>
  </si>
  <si>
    <t>785-532-1504</t>
  </si>
  <si>
    <t>Terry L. Kastens, Ph.D.</t>
  </si>
  <si>
    <t>Emeritus Agricultural Economist</t>
  </si>
  <si>
    <t>Copyright 2016 AgManager.info, K-State Department of Agricultural Economics</t>
  </si>
  <si>
    <t>Section-179 deduction ($500,000 max)</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</si>
</sst>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409]#,##0"/>
    <numFmt numFmtId="165" formatCode="0.0%"/>
    <numFmt numFmtId="166" formatCode="[$$-409]#,##0.00"/>
    <numFmt numFmtId="167" formatCode="0.0000"/>
    <numFmt numFmtId="168" formatCode="0.0"/>
    <numFmt numFmtId="169" formatCode="&quot;$&quot;#,##0.00"/>
    <numFmt numFmtId="170" formatCode="&quot;$&quot;#,##0"/>
    <numFmt numFmtId="171" formatCode="m/d/yy"/>
    <numFmt numFmtId="172" formatCode="0.000000"/>
  </numFmts>
  <fonts count="40" x14ac:knownFonts="1">
    <font>
      <sz val="12"/>
      <name val="Arial"/>
    </font>
    <font>
      <sz val="11"/>
      <name val="Arial"/>
      <family val="2"/>
    </font>
    <font>
      <sz val="10"/>
      <name val="Arial"/>
      <family val="2"/>
    </font>
    <font>
      <b/>
      <sz val="10"/>
      <name val="Arial"/>
      <family val="2"/>
    </font>
    <font>
      <b/>
      <sz val="10"/>
      <color indexed="12"/>
      <name val="Arial"/>
      <family val="2"/>
    </font>
    <font>
      <b/>
      <i/>
      <sz val="10"/>
      <color indexed="10"/>
      <name val="Arial"/>
      <family val="2"/>
    </font>
    <font>
      <sz val="10"/>
      <color indexed="81"/>
      <name val="Arial"/>
      <family val="2"/>
    </font>
    <font>
      <b/>
      <sz val="12"/>
      <name val="Arial"/>
      <family val="2"/>
    </font>
    <font>
      <b/>
      <u/>
      <sz val="10"/>
      <name val="Arial"/>
      <family val="2"/>
    </font>
    <font>
      <b/>
      <sz val="10"/>
      <color indexed="10"/>
      <name val="Arial"/>
      <family val="2"/>
    </font>
    <font>
      <sz val="10"/>
      <color indexed="81"/>
      <name val="Tahoma"/>
      <family val="2"/>
    </font>
    <font>
      <b/>
      <i/>
      <sz val="10"/>
      <name val="Arial"/>
      <family val="2"/>
    </font>
    <font>
      <sz val="12"/>
      <name val="Arial"/>
      <family val="2"/>
    </font>
    <font>
      <b/>
      <sz val="10"/>
      <color indexed="8"/>
      <name val="Arial"/>
      <family val="2"/>
    </font>
    <font>
      <b/>
      <sz val="10"/>
      <color indexed="14"/>
      <name val="Arial"/>
      <family val="2"/>
    </font>
    <font>
      <sz val="11"/>
      <color indexed="12"/>
      <name val="Arial"/>
      <family val="2"/>
    </font>
    <font>
      <b/>
      <sz val="10"/>
      <color rgb="FF80000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b/>
      <sz val="12"/>
      <color rgb="FFC00000"/>
      <name val="Calibri"/>
      <family val="2"/>
      <scheme val="minor"/>
    </font>
    <font>
      <u/>
      <sz val="10"/>
      <color indexed="12"/>
      <name val="Arial"/>
      <family val="2"/>
    </font>
    <font>
      <i/>
      <sz val="10"/>
      <name val="Arial"/>
      <family val="2"/>
    </font>
    <font>
      <u/>
      <sz val="12"/>
      <color indexed="12"/>
      <name val="Calibri"/>
      <family val="2"/>
      <scheme val="minor"/>
    </font>
  </fonts>
  <fills count="6">
    <fill>
      <patternFill patternType="none"/>
    </fill>
    <fill>
      <patternFill patternType="gray125"/>
    </fill>
    <fill>
      <patternFill patternType="solid">
        <fgColor indexed="27"/>
        <bgColor indexed="64"/>
      </patternFill>
    </fill>
    <fill>
      <patternFill patternType="solid">
        <fgColor indexed="9"/>
        <bgColor indexed="64"/>
      </patternFill>
    </fill>
    <fill>
      <patternFill patternType="solid">
        <fgColor rgb="FFCCFFFF"/>
        <bgColor indexed="64"/>
      </patternFill>
    </fill>
    <fill>
      <patternFill patternType="solid">
        <fgColor rgb="FF7030A0"/>
        <bgColor indexed="64"/>
      </patternFill>
    </fill>
  </fills>
  <borders count="2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indexed="8"/>
      </bottom>
      <diagonal/>
    </border>
    <border>
      <left style="medium">
        <color indexed="64"/>
      </left>
      <right/>
      <top/>
      <bottom/>
      <diagonal/>
    </border>
    <border>
      <left/>
      <right/>
      <top/>
      <bottom style="thin">
        <color indexed="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s>
  <cellStyleXfs count="6">
    <xf numFmtId="0" fontId="0" fillId="0" borderId="0"/>
    <xf numFmtId="0" fontId="12" fillId="0" borderId="0"/>
    <xf numFmtId="0" fontId="12" fillId="0" borderId="0"/>
    <xf numFmtId="0" fontId="2" fillId="0" borderId="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cellStyleXfs>
  <cellXfs count="153">
    <xf numFmtId="0" fontId="0" fillId="0" borderId="0" xfId="0"/>
    <xf numFmtId="0" fontId="3" fillId="0" borderId="0" xfId="0" applyNumberFormat="1" applyFont="1" applyAlignment="1"/>
    <xf numFmtId="0" fontId="3" fillId="0" borderId="8" xfId="0" applyNumberFormat="1" applyFont="1" applyBorder="1" applyAlignment="1">
      <alignment horizontal="left"/>
    </xf>
    <xf numFmtId="0" fontId="3" fillId="0" borderId="8" xfId="0" applyNumberFormat="1" applyFont="1" applyBorder="1" applyAlignment="1"/>
    <xf numFmtId="0" fontId="3" fillId="0" borderId="0" xfId="0" applyNumberFormat="1" applyFont="1" applyBorder="1" applyAlignment="1"/>
    <xf numFmtId="0" fontId="3" fillId="0" borderId="0" xfId="0" applyNumberFormat="1" applyFont="1" applyAlignment="1">
      <alignment horizontal="right"/>
    </xf>
    <xf numFmtId="164" fontId="3" fillId="0" borderId="0" xfId="0" applyNumberFormat="1" applyFont="1"/>
    <xf numFmtId="171" fontId="3" fillId="0" borderId="0" xfId="0" applyNumberFormat="1" applyFont="1" applyAlignment="1">
      <alignment horizontal="center"/>
    </xf>
    <xf numFmtId="3" fontId="5" fillId="0" borderId="0" xfId="0" applyNumberFormat="1" applyFont="1"/>
    <xf numFmtId="3" fontId="5" fillId="0" borderId="0" xfId="0" quotePrefix="1" applyNumberFormat="1" applyFont="1" applyAlignment="1">
      <alignment horizontal="left"/>
    </xf>
    <xf numFmtId="0" fontId="3" fillId="0" borderId="0" xfId="0" applyFont="1"/>
    <xf numFmtId="0" fontId="3" fillId="0" borderId="0" xfId="0" applyFont="1" applyBorder="1"/>
    <xf numFmtId="0" fontId="3" fillId="0" borderId="8" xfId="0" applyNumberFormat="1" applyFont="1" applyBorder="1" applyAlignment="1">
      <alignment horizontal="fill"/>
    </xf>
    <xf numFmtId="0" fontId="3" fillId="0" borderId="0" xfId="0" applyNumberFormat="1" applyFont="1" applyAlignment="1">
      <alignment horizontal="fill"/>
    </xf>
    <xf numFmtId="0" fontId="4" fillId="2" borderId="0" xfId="0" applyNumberFormat="1" applyFont="1" applyFill="1" applyAlignment="1" applyProtection="1">
      <protection locked="0"/>
    </xf>
    <xf numFmtId="10" fontId="4" fillId="2" borderId="0" xfId="0" applyNumberFormat="1" applyFont="1" applyFill="1" applyAlignment="1" applyProtection="1">
      <protection locked="0"/>
    </xf>
    <xf numFmtId="0" fontId="4" fillId="0" borderId="0" xfId="0" applyNumberFormat="1" applyFont="1" applyAlignment="1"/>
    <xf numFmtId="9" fontId="4" fillId="2" borderId="0" xfId="0" applyNumberFormat="1" applyFont="1" applyFill="1" applyAlignment="1" applyProtection="1">
      <protection locked="0"/>
    </xf>
    <xf numFmtId="164" fontId="4" fillId="2" borderId="0" xfId="0" applyNumberFormat="1" applyFont="1" applyFill="1" applyAlignment="1" applyProtection="1">
      <protection locked="0"/>
    </xf>
    <xf numFmtId="164" fontId="4" fillId="0" borderId="0" xfId="0" applyNumberFormat="1" applyFont="1" applyAlignment="1"/>
    <xf numFmtId="165" fontId="4" fillId="2" borderId="0" xfId="0" applyNumberFormat="1" applyFont="1" applyFill="1" applyAlignment="1" applyProtection="1">
      <protection locked="0"/>
    </xf>
    <xf numFmtId="166" fontId="3" fillId="0" borderId="0" xfId="0" applyNumberFormat="1" applyFont="1"/>
    <xf numFmtId="10" fontId="3" fillId="0" borderId="0" xfId="0" applyNumberFormat="1" applyFont="1"/>
    <xf numFmtId="167" fontId="3" fillId="0" borderId="0" xfId="0" applyNumberFormat="1" applyFont="1"/>
    <xf numFmtId="9" fontId="4" fillId="0" borderId="0" xfId="0" applyNumberFormat="1" applyFont="1" applyAlignment="1"/>
    <xf numFmtId="2" fontId="3" fillId="0" borderId="0" xfId="0" applyNumberFormat="1" applyFont="1"/>
    <xf numFmtId="3" fontId="4" fillId="2" borderId="0" xfId="0" applyNumberFormat="1" applyFont="1" applyFill="1" applyAlignment="1" applyProtection="1">
      <protection locked="0"/>
    </xf>
    <xf numFmtId="166" fontId="4" fillId="2" borderId="0" xfId="0" applyNumberFormat="1" applyFont="1" applyFill="1" applyAlignment="1" applyProtection="1">
      <protection locked="0"/>
    </xf>
    <xf numFmtId="0" fontId="3" fillId="0" borderId="0" xfId="0" applyNumberFormat="1" applyFont="1" applyAlignment="1">
      <alignment horizontal="centerContinuous"/>
    </xf>
    <xf numFmtId="2" fontId="4" fillId="2" borderId="0" xfId="0" applyNumberFormat="1" applyFont="1" applyFill="1" applyAlignment="1" applyProtection="1">
      <protection locked="0"/>
    </xf>
    <xf numFmtId="0" fontId="3" fillId="0" borderId="8" xfId="0" applyFont="1" applyBorder="1"/>
    <xf numFmtId="0" fontId="3" fillId="0" borderId="0" xfId="0" applyNumberFormat="1" applyFont="1" applyBorder="1" applyAlignment="1">
      <alignment horizontal="fill"/>
    </xf>
    <xf numFmtId="0" fontId="3" fillId="0" borderId="0" xfId="0" applyNumberFormat="1" applyFont="1" applyAlignment="1">
      <alignment horizontal="center"/>
    </xf>
    <xf numFmtId="0" fontId="3" fillId="0" borderId="10" xfId="0" applyNumberFormat="1" applyFont="1" applyBorder="1" applyAlignment="1">
      <alignment horizontal="center"/>
    </xf>
    <xf numFmtId="168" fontId="3" fillId="0" borderId="0" xfId="0" applyNumberFormat="1" applyFont="1" applyAlignment="1"/>
    <xf numFmtId="170" fontId="3" fillId="0" borderId="0" xfId="0" applyNumberFormat="1" applyFont="1"/>
    <xf numFmtId="170" fontId="3" fillId="0" borderId="0" xfId="0" applyNumberFormat="1" applyFont="1" applyAlignment="1"/>
    <xf numFmtId="3" fontId="3" fillId="0" borderId="0" xfId="0" applyNumberFormat="1" applyFont="1"/>
    <xf numFmtId="0" fontId="3" fillId="0" borderId="8" xfId="0" applyNumberFormat="1" applyFont="1" applyBorder="1" applyAlignment="1">
      <alignment horizontal="center"/>
    </xf>
    <xf numFmtId="3" fontId="3" fillId="0" borderId="8" xfId="0" applyNumberFormat="1" applyFont="1" applyBorder="1" applyAlignment="1"/>
    <xf numFmtId="4" fontId="3" fillId="0" borderId="8" xfId="0" applyNumberFormat="1" applyFont="1" applyBorder="1" applyAlignment="1"/>
    <xf numFmtId="0" fontId="3" fillId="0" borderId="0" xfId="0" quotePrefix="1" applyNumberFormat="1" applyFont="1" applyAlignment="1">
      <alignment horizontal="fill"/>
    </xf>
    <xf numFmtId="0" fontId="3" fillId="0" borderId="0" xfId="0" applyNumberFormat="1" applyFont="1"/>
    <xf numFmtId="0" fontId="8" fillId="0" borderId="0" xfId="0" applyNumberFormat="1" applyFont="1" applyAlignment="1">
      <alignment horizontal="right"/>
    </xf>
    <xf numFmtId="164" fontId="3" fillId="0" borderId="0" xfId="0" applyNumberFormat="1" applyFont="1" applyAlignment="1"/>
    <xf numFmtId="0" fontId="3" fillId="0" borderId="6" xfId="0" applyNumberFormat="1" applyFont="1" applyBorder="1" applyAlignment="1"/>
    <xf numFmtId="1" fontId="3" fillId="0" borderId="0" xfId="0" applyNumberFormat="1" applyFont="1"/>
    <xf numFmtId="164" fontId="3" fillId="0" borderId="0" xfId="0" quotePrefix="1" applyNumberFormat="1" applyFont="1"/>
    <xf numFmtId="170" fontId="3" fillId="0" borderId="0" xfId="0" quotePrefix="1" applyNumberFormat="1" applyFont="1" applyAlignment="1">
      <alignment horizontal="right"/>
    </xf>
    <xf numFmtId="170" fontId="3" fillId="0" borderId="0" xfId="0" quotePrefix="1" applyNumberFormat="1" applyFont="1" applyAlignment="1">
      <alignment horizontal="left"/>
    </xf>
    <xf numFmtId="166" fontId="3" fillId="0" borderId="0" xfId="0" applyNumberFormat="1" applyFont="1" applyAlignment="1">
      <alignment horizontal="center"/>
    </xf>
    <xf numFmtId="170" fontId="3" fillId="0" borderId="0" xfId="0" quotePrefix="1" applyNumberFormat="1" applyFont="1"/>
    <xf numFmtId="0" fontId="9" fillId="0" borderId="0" xfId="0" applyFont="1"/>
    <xf numFmtId="0" fontId="3" fillId="0" borderId="6" xfId="0" applyNumberFormat="1" applyFont="1" applyBorder="1" applyAlignment="1">
      <alignment horizontal="left"/>
    </xf>
    <xf numFmtId="0" fontId="3" fillId="0" borderId="6" xfId="0" applyNumberFormat="1" applyFont="1" applyBorder="1" applyAlignment="1">
      <alignment horizontal="fill"/>
    </xf>
    <xf numFmtId="0" fontId="3" fillId="0" borderId="0" xfId="0" applyNumberFormat="1" applyFont="1" applyBorder="1" applyAlignment="1">
      <alignment horizontal="left"/>
    </xf>
    <xf numFmtId="0" fontId="3" fillId="0" borderId="0" xfId="0" applyNumberFormat="1" applyFont="1" applyBorder="1" applyAlignment="1">
      <alignment horizontal="center"/>
    </xf>
    <xf numFmtId="0" fontId="3" fillId="0" borderId="11" xfId="0" applyNumberFormat="1" applyFont="1" applyBorder="1" applyAlignment="1"/>
    <xf numFmtId="0" fontId="3" fillId="0" borderId="11" xfId="0" applyNumberFormat="1" applyFont="1" applyBorder="1" applyAlignment="1">
      <alignment horizontal="center"/>
    </xf>
    <xf numFmtId="0" fontId="13" fillId="0" borderId="0" xfId="0" applyNumberFormat="1" applyFont="1" applyAlignment="1"/>
    <xf numFmtId="0" fontId="3" fillId="0" borderId="0" xfId="0" applyNumberFormat="1" applyFont="1" applyBorder="1" applyAlignment="1">
      <alignment horizontal="right"/>
    </xf>
    <xf numFmtId="3" fontId="3" fillId="0" borderId="0" xfId="0" applyNumberFormat="1" applyFont="1" applyAlignment="1">
      <alignment horizontal="left"/>
    </xf>
    <xf numFmtId="166" fontId="3" fillId="0" borderId="0" xfId="0" quotePrefix="1" applyNumberFormat="1" applyFont="1"/>
    <xf numFmtId="170" fontId="3" fillId="0" borderId="0" xfId="0" quotePrefix="1" applyNumberFormat="1" applyFont="1" applyAlignment="1"/>
    <xf numFmtId="169" fontId="3" fillId="0" borderId="0" xfId="0" quotePrefix="1" applyNumberFormat="1" applyFont="1" applyAlignment="1">
      <alignment horizontal="right"/>
    </xf>
    <xf numFmtId="164" fontId="3" fillId="0" borderId="6" xfId="0" applyNumberFormat="1" applyFont="1" applyBorder="1"/>
    <xf numFmtId="0" fontId="14" fillId="0" borderId="0" xfId="0" applyNumberFormat="1" applyFont="1" applyAlignment="1"/>
    <xf numFmtId="10" fontId="4" fillId="2" borderId="6" xfId="0" applyNumberFormat="1" applyFont="1" applyFill="1" applyBorder="1" applyAlignment="1" applyProtection="1">
      <protection locked="0"/>
    </xf>
    <xf numFmtId="169" fontId="3" fillId="0" borderId="0" xfId="0" applyNumberFormat="1" applyFont="1"/>
    <xf numFmtId="164" fontId="3" fillId="0" borderId="12" xfId="0" applyNumberFormat="1" applyFont="1" applyBorder="1"/>
    <xf numFmtId="172" fontId="3" fillId="0" borderId="11" xfId="0" applyNumberFormat="1" applyFont="1" applyBorder="1" applyAlignment="1">
      <alignment horizontal="right" indent="1"/>
    </xf>
    <xf numFmtId="172" fontId="3" fillId="0" borderId="0" xfId="0" applyNumberFormat="1" applyFont="1" applyBorder="1" applyAlignment="1">
      <alignment horizontal="right" indent="1"/>
    </xf>
    <xf numFmtId="172" fontId="3" fillId="0" borderId="0" xfId="2" applyNumberFormat="1" applyFont="1" applyAlignment="1">
      <alignment horizontal="right" indent="1"/>
    </xf>
    <xf numFmtId="0" fontId="3" fillId="0" borderId="0" xfId="0" applyFont="1" applyBorder="1" applyAlignment="1">
      <alignment horizontal="right" indent="1"/>
    </xf>
    <xf numFmtId="0" fontId="3" fillId="0" borderId="11" xfId="0" applyFont="1" applyBorder="1" applyAlignment="1">
      <alignment horizontal="right" indent="1"/>
    </xf>
    <xf numFmtId="0" fontId="3" fillId="0" borderId="0" xfId="0" applyNumberFormat="1" applyFont="1" applyBorder="1" applyAlignment="1">
      <alignment horizontal="right" indent="1"/>
    </xf>
    <xf numFmtId="0" fontId="1" fillId="4" borderId="0" xfId="0" applyFont="1" applyFill="1" applyBorder="1"/>
    <xf numFmtId="0" fontId="12" fillId="4" borderId="13" xfId="0" applyFont="1" applyFill="1" applyBorder="1"/>
    <xf numFmtId="0" fontId="12" fillId="4" borderId="14" xfId="0" applyFont="1" applyFill="1" applyBorder="1"/>
    <xf numFmtId="0" fontId="0" fillId="4" borderId="15" xfId="0" applyFill="1" applyBorder="1"/>
    <xf numFmtId="0" fontId="1" fillId="4" borderId="16" xfId="0" applyFont="1" applyFill="1" applyBorder="1" applyAlignment="1">
      <alignment horizontal="left" indent="1"/>
    </xf>
    <xf numFmtId="0" fontId="1" fillId="4" borderId="17" xfId="0" applyFont="1" applyFill="1" applyBorder="1"/>
    <xf numFmtId="0" fontId="1" fillId="4" borderId="16" xfId="0" applyNumberFormat="1" applyFont="1" applyFill="1" applyBorder="1" applyAlignment="1">
      <alignment horizontal="left" indent="1"/>
    </xf>
    <xf numFmtId="0" fontId="1" fillId="4" borderId="0" xfId="0" applyNumberFormat="1" applyFont="1" applyFill="1" applyBorder="1" applyAlignment="1"/>
    <xf numFmtId="0" fontId="0" fillId="4" borderId="18" xfId="0" applyFill="1" applyBorder="1"/>
    <xf numFmtId="0" fontId="0" fillId="4" borderId="8" xfId="0" applyFill="1" applyBorder="1"/>
    <xf numFmtId="0" fontId="0" fillId="4" borderId="19" xfId="0" applyFill="1" applyBorder="1"/>
    <xf numFmtId="0" fontId="15" fillId="4" borderId="0" xfId="0" applyFont="1" applyFill="1" applyBorder="1" applyAlignment="1" applyProtection="1">
      <alignment horizontal="right"/>
      <protection locked="0"/>
    </xf>
    <xf numFmtId="170" fontId="15" fillId="4" borderId="0" xfId="0" applyNumberFormat="1" applyFont="1" applyFill="1" applyBorder="1" applyAlignment="1" applyProtection="1">
      <alignment horizontal="right"/>
      <protection locked="0"/>
    </xf>
    <xf numFmtId="9" fontId="15" fillId="4" borderId="0" xfId="0" applyNumberFormat="1" applyFont="1" applyFill="1" applyBorder="1" applyAlignment="1" applyProtection="1">
      <alignment horizontal="right"/>
      <protection locked="0"/>
    </xf>
    <xf numFmtId="0" fontId="15" fillId="4" borderId="0" xfId="0" applyNumberFormat="1" applyFont="1" applyFill="1" applyBorder="1" applyAlignment="1" applyProtection="1">
      <alignment horizontal="right"/>
      <protection locked="0"/>
    </xf>
    <xf numFmtId="2" fontId="15" fillId="4" borderId="0" xfId="0" applyNumberFormat="1" applyFont="1" applyFill="1" applyBorder="1" applyAlignment="1" applyProtection="1">
      <alignment horizontal="right"/>
      <protection locked="0"/>
    </xf>
    <xf numFmtId="0" fontId="2" fillId="0" borderId="0" xfId="3" applyProtection="1"/>
    <xf numFmtId="0" fontId="17" fillId="5" borderId="1" xfId="3" applyFont="1" applyFill="1" applyBorder="1" applyProtection="1"/>
    <xf numFmtId="0" fontId="17" fillId="5" borderId="2" xfId="3" applyFont="1" applyFill="1" applyBorder="1" applyProtection="1"/>
    <xf numFmtId="0" fontId="17" fillId="5" borderId="3" xfId="3" applyFont="1" applyFill="1" applyBorder="1" applyProtection="1"/>
    <xf numFmtId="0" fontId="18" fillId="5" borderId="9" xfId="3" applyFont="1" applyFill="1" applyBorder="1" applyAlignment="1" applyProtection="1"/>
    <xf numFmtId="0" fontId="19" fillId="5" borderId="0" xfId="3" applyFont="1" applyFill="1" applyAlignment="1" applyProtection="1"/>
    <xf numFmtId="0" fontId="20" fillId="5" borderId="0" xfId="3" applyFont="1" applyFill="1" applyBorder="1" applyProtection="1"/>
    <xf numFmtId="0" fontId="17" fillId="5" borderId="0" xfId="3" applyFont="1" applyFill="1" applyBorder="1" applyProtection="1"/>
    <xf numFmtId="0" fontId="17" fillId="5" borderId="4" xfId="3" applyFont="1" applyFill="1" applyBorder="1" applyProtection="1"/>
    <xf numFmtId="0" fontId="20" fillId="5" borderId="9" xfId="3" applyFont="1" applyFill="1" applyBorder="1" applyProtection="1"/>
    <xf numFmtId="0" fontId="21" fillId="5" borderId="0" xfId="3" applyFont="1" applyFill="1" applyBorder="1" applyAlignment="1" applyProtection="1">
      <alignment horizontal="left"/>
    </xf>
    <xf numFmtId="0" fontId="22" fillId="5" borderId="0" xfId="3" applyFont="1" applyFill="1" applyAlignment="1" applyProtection="1">
      <alignment horizontal="left"/>
    </xf>
    <xf numFmtId="0" fontId="23" fillId="5" borderId="0" xfId="3" applyFont="1" applyFill="1" applyAlignment="1" applyProtection="1"/>
    <xf numFmtId="0" fontId="17" fillId="5" borderId="9" xfId="3" applyFont="1" applyFill="1" applyBorder="1" applyAlignment="1" applyProtection="1">
      <alignment horizontal="center"/>
    </xf>
    <xf numFmtId="0" fontId="27" fillId="5" borderId="0" xfId="3" applyFont="1" applyFill="1" applyAlignment="1" applyProtection="1">
      <alignment wrapText="1"/>
    </xf>
    <xf numFmtId="0" fontId="28" fillId="5" borderId="0" xfId="3" applyFont="1" applyFill="1" applyBorder="1" applyProtection="1"/>
    <xf numFmtId="0" fontId="29" fillId="5" borderId="4" xfId="3" applyFont="1" applyFill="1" applyBorder="1" applyProtection="1"/>
    <xf numFmtId="0" fontId="17" fillId="5" borderId="5" xfId="3" applyFont="1" applyFill="1" applyBorder="1" applyProtection="1"/>
    <xf numFmtId="0" fontId="17" fillId="5" borderId="6" xfId="3" applyFont="1" applyFill="1" applyBorder="1" applyProtection="1"/>
    <xf numFmtId="0" fontId="28" fillId="5" borderId="6" xfId="3" applyFont="1" applyFill="1" applyBorder="1" applyProtection="1"/>
    <xf numFmtId="0" fontId="30" fillId="5" borderId="7" xfId="3" applyFont="1" applyFill="1" applyBorder="1" applyAlignment="1" applyProtection="1">
      <alignment horizontal="right"/>
    </xf>
    <xf numFmtId="0" fontId="7" fillId="0" borderId="0" xfId="3" applyFont="1" applyProtection="1"/>
    <xf numFmtId="0" fontId="7" fillId="0" borderId="0" xfId="3" applyFont="1" applyFill="1" applyBorder="1" applyProtection="1"/>
    <xf numFmtId="0" fontId="34" fillId="0" borderId="0" xfId="3" applyFont="1" applyProtection="1"/>
    <xf numFmtId="0" fontId="34" fillId="0" borderId="0" xfId="3" applyFont="1" applyFill="1" applyProtection="1"/>
    <xf numFmtId="0" fontId="34" fillId="0" borderId="0" xfId="3" applyFont="1" applyAlignment="1" applyProtection="1">
      <alignment vertical="center" wrapText="1"/>
    </xf>
    <xf numFmtId="0" fontId="33" fillId="0" borderId="0" xfId="3" applyFont="1" applyAlignment="1" applyProtection="1">
      <alignment wrapText="1"/>
    </xf>
    <xf numFmtId="0" fontId="32" fillId="0" borderId="0" xfId="3" applyFont="1" applyProtection="1"/>
    <xf numFmtId="0" fontId="33" fillId="0" borderId="0" xfId="3" applyFont="1" applyProtection="1"/>
    <xf numFmtId="0" fontId="33" fillId="3" borderId="0" xfId="3" applyFont="1" applyFill="1"/>
    <xf numFmtId="0" fontId="37" fillId="3" borderId="0" xfId="4" applyFill="1" applyAlignment="1" applyProtection="1">
      <alignment horizontal="left"/>
    </xf>
    <xf numFmtId="0" fontId="33" fillId="0" borderId="0" xfId="3" applyFont="1" applyAlignment="1" applyProtection="1">
      <alignment vertical="center" wrapText="1"/>
    </xf>
    <xf numFmtId="0" fontId="33" fillId="0" borderId="0" xfId="3" applyFont="1" applyAlignment="1" applyProtection="1">
      <alignment horizontal="center"/>
    </xf>
    <xf numFmtId="0" fontId="1" fillId="0" borderId="0" xfId="3" applyFont="1" applyProtection="1"/>
    <xf numFmtId="0" fontId="39" fillId="0" borderId="0" xfId="5" applyFont="1" applyAlignment="1" applyProtection="1"/>
    <xf numFmtId="0" fontId="39" fillId="0" borderId="0" xfId="4" applyFont="1" applyAlignment="1" applyProtection="1"/>
    <xf numFmtId="0" fontId="33" fillId="0" borderId="0" xfId="5" applyFont="1" applyFill="1" applyAlignment="1" applyProtection="1"/>
    <xf numFmtId="0" fontId="33" fillId="0" borderId="0" xfId="3" applyFont="1" applyFill="1" applyAlignment="1" applyProtection="1"/>
    <xf numFmtId="0" fontId="33" fillId="0" borderId="0" xfId="3" applyFont="1" applyAlignment="1" applyProtection="1"/>
    <xf numFmtId="0" fontId="34" fillId="0" borderId="0" xfId="3" applyFont="1" applyAlignment="1" applyProtection="1">
      <alignment horizontal="left" wrapText="1"/>
    </xf>
    <xf numFmtId="0" fontId="37" fillId="0" borderId="0" xfId="5" applyAlignment="1" applyProtection="1"/>
    <xf numFmtId="0" fontId="39" fillId="0" borderId="0" xfId="4" applyFont="1" applyAlignment="1" applyProtection="1"/>
    <xf numFmtId="0" fontId="33" fillId="0" borderId="0" xfId="3" applyFont="1" applyAlignment="1" applyProtection="1"/>
    <xf numFmtId="0" fontId="34" fillId="0" borderId="0" xfId="3" applyFont="1" applyAlignment="1" applyProtection="1">
      <alignment horizontal="left" wrapText="1"/>
    </xf>
    <xf numFmtId="0" fontId="33" fillId="0" borderId="0" xfId="3" applyFont="1" applyAlignment="1" applyProtection="1">
      <alignment horizontal="left" wrapText="1"/>
    </xf>
    <xf numFmtId="0" fontId="37" fillId="3" borderId="0" xfId="4" applyFill="1" applyAlignment="1" applyProtection="1">
      <alignment horizontal="left"/>
    </xf>
    <xf numFmtId="0" fontId="38" fillId="3" borderId="0" xfId="4" applyFont="1" applyFill="1" applyAlignment="1" applyProtection="1">
      <alignment horizontal="left" vertical="top" wrapText="1"/>
    </xf>
    <xf numFmtId="0" fontId="33" fillId="0" borderId="0" xfId="3" applyFont="1" applyAlignment="1" applyProtection="1">
      <alignment horizontal="left" vertical="center" wrapText="1"/>
    </xf>
    <xf numFmtId="0" fontId="20" fillId="5" borderId="9" xfId="3" applyFont="1" applyFill="1" applyBorder="1" applyAlignment="1" applyProtection="1">
      <alignment horizontal="left" wrapText="1"/>
    </xf>
    <xf numFmtId="0" fontId="24" fillId="5" borderId="0" xfId="3" applyFont="1" applyFill="1" applyAlignment="1" applyProtection="1">
      <alignment wrapText="1"/>
    </xf>
    <xf numFmtId="0" fontId="24" fillId="5" borderId="9" xfId="3" applyFont="1" applyFill="1" applyBorder="1" applyAlignment="1" applyProtection="1">
      <alignment wrapText="1"/>
    </xf>
    <xf numFmtId="0" fontId="25" fillId="0" borderId="0" xfId="3" applyFont="1" applyAlignment="1" applyProtection="1">
      <alignment wrapText="1"/>
    </xf>
    <xf numFmtId="0" fontId="26" fillId="0" borderId="0" xfId="3" applyFont="1" applyAlignment="1" applyProtection="1">
      <alignment wrapText="1"/>
    </xf>
    <xf numFmtId="0" fontId="30" fillId="5" borderId="6" xfId="3" applyFont="1" applyFill="1" applyBorder="1" applyAlignment="1" applyProtection="1">
      <alignment horizontal="right"/>
    </xf>
    <xf numFmtId="0" fontId="27" fillId="5" borderId="6" xfId="3" applyFont="1" applyFill="1" applyBorder="1" applyAlignment="1" applyProtection="1">
      <alignment horizontal="right"/>
    </xf>
    <xf numFmtId="14" fontId="30" fillId="5" borderId="6" xfId="3" applyNumberFormat="1" applyFont="1" applyFill="1" applyBorder="1" applyAlignment="1" applyProtection="1">
      <alignment horizontal="left"/>
    </xf>
    <xf numFmtId="0" fontId="27" fillId="5" borderId="6" xfId="3" applyFont="1" applyFill="1" applyBorder="1" applyAlignment="1" applyProtection="1">
      <alignment horizontal="left"/>
    </xf>
    <xf numFmtId="0" fontId="31" fillId="0" borderId="0" xfId="3" applyFont="1" applyProtection="1"/>
    <xf numFmtId="0" fontId="32" fillId="0" borderId="0" xfId="3" applyFont="1" applyAlignment="1" applyProtection="1"/>
    <xf numFmtId="0" fontId="3" fillId="0" borderId="11" xfId="0" applyNumberFormat="1" applyFont="1" applyFill="1" applyBorder="1" applyAlignment="1">
      <alignment horizontal="left"/>
    </xf>
    <xf numFmtId="0" fontId="12" fillId="0" borderId="11" xfId="0" applyFont="1" applyFill="1" applyBorder="1" applyAlignment="1"/>
  </cellXfs>
  <cellStyles count="6">
    <cellStyle name="Hyperlink 2" xfId="4"/>
    <cellStyle name="Hyperlink_K-State Vegetative Buffer" xfId="5"/>
    <cellStyle name="Normal" xfId="0" builtinId="0"/>
    <cellStyle name="Normal 2" xfId="1"/>
    <cellStyle name="Normal 3" xfId="2"/>
    <cellStyle name="Normal 4"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www.AgManager.info" TargetMode="External"/><Relationship Id="rId6" Type="http://schemas.openxmlformats.org/officeDocument/2006/relationships/hyperlink" Target="http://www.agmanager.info/farmmgt/machinery/Tools/OwnSprayer.pdf" TargetMode="External"/><Relationship Id="rId5" Type="http://schemas.openxmlformats.org/officeDocument/2006/relationships/hyperlink" Target="http://www.ageconomics.k-state.edu/" TargetMode="Externa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0</xdr:col>
      <xdr:colOff>176007</xdr:colOff>
      <xdr:row>52</xdr:row>
      <xdr:rowOff>0</xdr:rowOff>
    </xdr:from>
    <xdr:to>
      <xdr:col>6</xdr:col>
      <xdr:colOff>196713</xdr:colOff>
      <xdr:row>55</xdr:row>
      <xdr:rowOff>132943</xdr:rowOff>
    </xdr:to>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6007" y="9983434"/>
          <a:ext cx="2843005" cy="614991"/>
        </a:xfrm>
        <a:prstGeom prst="rect">
          <a:avLst/>
        </a:prstGeom>
      </xdr:spPr>
    </xdr:pic>
    <xdr:clientData/>
  </xdr:twoCellAnchor>
  <xdr:twoCellAnchor editAs="oneCell">
    <xdr:from>
      <xdr:col>1</xdr:col>
      <xdr:colOff>0</xdr:colOff>
      <xdr:row>8</xdr:row>
      <xdr:rowOff>20704</xdr:rowOff>
    </xdr:from>
    <xdr:to>
      <xdr:col>12</xdr:col>
      <xdr:colOff>2468</xdr:colOff>
      <xdr:row>25</xdr:row>
      <xdr:rowOff>155297</xdr:rowOff>
    </xdr:to>
    <xdr:pic>
      <xdr:nvPicPr>
        <xdr:cNvPr id="3" name="Picture 2"/>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3532" t="24623" r="2939" b="33041"/>
        <a:stretch/>
      </xdr:blipFill>
      <xdr:spPr>
        <a:xfrm>
          <a:off x="238125" y="1439101"/>
          <a:ext cx="7653528" cy="2909267"/>
        </a:xfrm>
        <a:prstGeom prst="rect">
          <a:avLst/>
        </a:prstGeom>
        <a:ln>
          <a:solidFill>
            <a:sysClr val="windowText" lastClr="000000"/>
          </a:solidFill>
        </a:ln>
      </xdr:spPr>
    </xdr:pic>
    <xdr:clientData/>
  </xdr:twoCellAnchor>
  <xdr:twoCellAnchor editAs="oneCell">
    <xdr:from>
      <xdr:col>9</xdr:col>
      <xdr:colOff>103532</xdr:colOff>
      <xdr:row>22</xdr:row>
      <xdr:rowOff>113886</xdr:rowOff>
    </xdr:from>
    <xdr:to>
      <xdr:col>11</xdr:col>
      <xdr:colOff>1532282</xdr:colOff>
      <xdr:row>25</xdr:row>
      <xdr:rowOff>134592</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28396" y="3810000"/>
          <a:ext cx="2650435" cy="517663"/>
        </a:xfrm>
        <a:prstGeom prst="rect">
          <a:avLst/>
        </a:prstGeom>
      </xdr:spPr>
    </xdr:pic>
    <xdr:clientData/>
  </xdr:twoCellAnchor>
  <xdr:twoCellAnchor editAs="oneCell">
    <xdr:from>
      <xdr:col>10</xdr:col>
      <xdr:colOff>93180</xdr:colOff>
      <xdr:row>34</xdr:row>
      <xdr:rowOff>10353</xdr:rowOff>
    </xdr:from>
    <xdr:to>
      <xdr:col>12</xdr:col>
      <xdr:colOff>71602</xdr:colOff>
      <xdr:row>45</xdr:row>
      <xdr:rowOff>122230</xdr:rowOff>
    </xdr:to>
    <xdr:pic>
      <xdr:nvPicPr>
        <xdr:cNvPr id="7" name="Picture 55">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7734" t="16754" r="25293" b="659"/>
        <a:stretch>
          <a:fillRect/>
        </a:stretch>
      </xdr:blipFill>
      <xdr:spPr bwMode="auto">
        <a:xfrm>
          <a:off x="5808180" y="6382578"/>
          <a:ext cx="1975359" cy="253246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47625</xdr:colOff>
          <xdr:row>1</xdr:row>
          <xdr:rowOff>28575</xdr:rowOff>
        </xdr:from>
        <xdr:to>
          <xdr:col>10</xdr:col>
          <xdr:colOff>790575</xdr:colOff>
          <xdr:row>2</xdr:row>
          <xdr:rowOff>104775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800000"/>
                  </a:solidFill>
                  <a:latin typeface="Arial"/>
                  <a:cs typeface="Arial"/>
                </a:rPr>
                <a:t>Print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2</xdr:row>
          <xdr:rowOff>66675</xdr:rowOff>
        </xdr:from>
        <xdr:to>
          <xdr:col>2</xdr:col>
          <xdr:colOff>419100</xdr:colOff>
          <xdr:row>3</xdr:row>
          <xdr:rowOff>123825</xdr:rowOff>
        </xdr:to>
        <xdr:sp macro="" textlink="">
          <xdr:nvSpPr>
            <xdr:cNvPr id="2049" name="Button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800000"/>
                  </a:solidFill>
                  <a:latin typeface="Arial"/>
                  <a:cs typeface="Arial"/>
                </a:rPr>
                <a:t>Print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47625</xdr:colOff>
          <xdr:row>1</xdr:row>
          <xdr:rowOff>47625</xdr:rowOff>
        </xdr:from>
        <xdr:to>
          <xdr:col>7</xdr:col>
          <xdr:colOff>781050</xdr:colOff>
          <xdr:row>2</xdr:row>
          <xdr:rowOff>95250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1" i="0" u="none" strike="noStrike" baseline="0">
                  <a:solidFill>
                    <a:srgbClr val="800000"/>
                  </a:solidFill>
                  <a:latin typeface="Arial"/>
                  <a:cs typeface="Arial"/>
                </a:rPr>
                <a:t>Print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agmanager.info/farmmgt/machinery/Tools/OwnSprayer.pdf" TargetMode="External"/><Relationship Id="rId1" Type="http://schemas.openxmlformats.org/officeDocument/2006/relationships/hyperlink" Target="mailto:rvl@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B1:X52"/>
  <sheetViews>
    <sheetView showGridLines="0" tabSelected="1" zoomScale="92" zoomScaleNormal="100" workbookViewId="0">
      <selection activeCell="R22" sqref="R22"/>
    </sheetView>
  </sheetViews>
  <sheetFormatPr defaultRowHeight="12.75" x14ac:dyDescent="0.2"/>
  <cols>
    <col min="1" max="1" width="2.77734375" style="92" customWidth="1"/>
    <col min="2" max="11" width="7.109375" style="92" customWidth="1"/>
    <col min="12" max="12" width="18" style="92" customWidth="1"/>
    <col min="13" max="13" width="2.88671875" style="92" customWidth="1"/>
    <col min="14" max="16384" width="8.88671875" style="92"/>
  </cols>
  <sheetData>
    <row r="1" spans="2:24" ht="10.5" customHeight="1" thickBot="1" x14ac:dyDescent="0.25"/>
    <row r="2" spans="2:24" ht="7.5" customHeight="1" x14ac:dyDescent="0.25">
      <c r="B2" s="93"/>
      <c r="C2" s="94"/>
      <c r="D2" s="94"/>
      <c r="E2" s="94"/>
      <c r="F2" s="94"/>
      <c r="G2" s="94"/>
      <c r="H2" s="94"/>
      <c r="I2" s="94"/>
      <c r="J2" s="94"/>
      <c r="K2" s="94"/>
      <c r="L2" s="95"/>
    </row>
    <row r="3" spans="2:24" ht="26.25" x14ac:dyDescent="0.4">
      <c r="B3" s="96" t="s">
        <v>142</v>
      </c>
      <c r="C3" s="97"/>
      <c r="D3" s="97"/>
      <c r="E3" s="97"/>
      <c r="F3" s="97"/>
      <c r="G3" s="97"/>
      <c r="H3" s="98"/>
      <c r="I3" s="98"/>
      <c r="J3" s="99"/>
      <c r="K3" s="99"/>
      <c r="L3" s="100"/>
    </row>
    <row r="4" spans="2:24" ht="18" customHeight="1" x14ac:dyDescent="0.3">
      <c r="B4" s="101"/>
      <c r="C4" s="102"/>
      <c r="D4" s="103"/>
      <c r="E4" s="103"/>
      <c r="F4" s="104"/>
      <c r="G4" s="104"/>
      <c r="H4" s="98"/>
      <c r="I4" s="98"/>
      <c r="J4" s="99"/>
      <c r="K4" s="99"/>
      <c r="L4" s="100"/>
    </row>
    <row r="5" spans="2:24" ht="15.75" customHeight="1" x14ac:dyDescent="0.25">
      <c r="B5" s="140" t="s">
        <v>143</v>
      </c>
      <c r="C5" s="141"/>
      <c r="D5" s="141"/>
      <c r="E5" s="141"/>
      <c r="F5" s="141"/>
      <c r="G5" s="141"/>
      <c r="H5" s="141"/>
      <c r="I5" s="141"/>
      <c r="J5" s="99"/>
      <c r="K5" s="99"/>
      <c r="L5" s="100"/>
      <c r="N5" s="143"/>
      <c r="O5" s="144"/>
      <c r="P5" s="144"/>
      <c r="Q5" s="144"/>
      <c r="R5" s="144"/>
      <c r="S5" s="144"/>
      <c r="T5" s="144"/>
      <c r="U5" s="144"/>
      <c r="V5" s="144"/>
      <c r="W5" s="144"/>
      <c r="X5" s="144"/>
    </row>
    <row r="6" spans="2:24" ht="15.75" x14ac:dyDescent="0.25">
      <c r="B6" s="142"/>
      <c r="C6" s="141"/>
      <c r="D6" s="141"/>
      <c r="E6" s="141"/>
      <c r="F6" s="141"/>
      <c r="G6" s="141"/>
      <c r="H6" s="141"/>
      <c r="I6" s="141"/>
      <c r="J6" s="99"/>
      <c r="K6" s="99"/>
      <c r="L6" s="100"/>
      <c r="N6" s="144"/>
      <c r="O6" s="144"/>
      <c r="P6" s="144"/>
      <c r="Q6" s="144"/>
      <c r="R6" s="144"/>
      <c r="S6" s="144"/>
      <c r="T6" s="144"/>
      <c r="U6" s="144"/>
      <c r="V6" s="144"/>
      <c r="W6" s="144"/>
      <c r="X6" s="144"/>
    </row>
    <row r="7" spans="2:24" ht="5.25" customHeight="1" x14ac:dyDescent="0.25">
      <c r="B7" s="105"/>
      <c r="C7" s="106"/>
      <c r="D7" s="106"/>
      <c r="E7" s="106"/>
      <c r="F7" s="106"/>
      <c r="G7" s="106"/>
      <c r="H7" s="106"/>
      <c r="I7" s="99"/>
      <c r="J7" s="99"/>
      <c r="K7" s="107"/>
      <c r="L7" s="108"/>
    </row>
    <row r="8" spans="2:24" ht="13.5" customHeight="1" thickBot="1" x14ac:dyDescent="0.3">
      <c r="B8" s="109"/>
      <c r="C8" s="145"/>
      <c r="D8" s="146"/>
      <c r="E8" s="147"/>
      <c r="F8" s="148"/>
      <c r="G8" s="110"/>
      <c r="H8" s="110"/>
      <c r="I8" s="110"/>
      <c r="J8" s="110"/>
      <c r="K8" s="111"/>
      <c r="L8" s="112" t="s">
        <v>144</v>
      </c>
      <c r="N8" s="149"/>
    </row>
    <row r="9" spans="2:24" ht="9.75" customHeight="1" x14ac:dyDescent="0.25">
      <c r="B9" s="113"/>
      <c r="C9" s="113"/>
      <c r="D9" s="113"/>
      <c r="E9" s="113"/>
      <c r="F9" s="113"/>
      <c r="G9" s="114"/>
      <c r="H9" s="113"/>
      <c r="I9" s="113"/>
      <c r="J9" s="113"/>
      <c r="K9" s="113"/>
      <c r="L9" s="113"/>
      <c r="N9" s="149"/>
    </row>
    <row r="28" spans="2:12" ht="26.25" customHeight="1" x14ac:dyDescent="0.25">
      <c r="B28" s="150" t="s">
        <v>145</v>
      </c>
      <c r="C28" s="134"/>
      <c r="D28" s="134"/>
      <c r="E28" s="134"/>
      <c r="F28" s="115"/>
      <c r="G28" s="116"/>
      <c r="H28" s="115"/>
      <c r="I28" s="115"/>
      <c r="J28" s="115"/>
      <c r="K28" s="115"/>
      <c r="L28" s="115"/>
    </row>
    <row r="29" spans="2:12" ht="15.75" customHeight="1" x14ac:dyDescent="0.2">
      <c r="B29" s="136" t="s">
        <v>146</v>
      </c>
      <c r="C29" s="136"/>
      <c r="D29" s="136"/>
      <c r="E29" s="136"/>
      <c r="F29" s="136"/>
      <c r="G29" s="136"/>
      <c r="H29" s="136"/>
      <c r="I29" s="136"/>
      <c r="J29" s="136"/>
      <c r="K29" s="136"/>
      <c r="L29" s="136"/>
    </row>
    <row r="30" spans="2:12" ht="35.25" customHeight="1" x14ac:dyDescent="0.2">
      <c r="B30" s="136"/>
      <c r="C30" s="136"/>
      <c r="D30" s="136"/>
      <c r="E30" s="136"/>
      <c r="F30" s="136"/>
      <c r="G30" s="136"/>
      <c r="H30" s="136"/>
      <c r="I30" s="136"/>
      <c r="J30" s="136"/>
      <c r="K30" s="136"/>
      <c r="L30" s="136"/>
    </row>
    <row r="31" spans="2:12" ht="31.5" customHeight="1" x14ac:dyDescent="0.2">
      <c r="B31" s="136" t="s">
        <v>147</v>
      </c>
      <c r="C31" s="136"/>
      <c r="D31" s="136"/>
      <c r="E31" s="136"/>
      <c r="F31" s="136"/>
      <c r="G31" s="136"/>
      <c r="H31" s="136"/>
      <c r="I31" s="136"/>
      <c r="J31" s="136"/>
      <c r="K31" s="136"/>
      <c r="L31" s="136"/>
    </row>
    <row r="32" spans="2:12" ht="27" customHeight="1" x14ac:dyDescent="0.2">
      <c r="B32" s="136"/>
      <c r="C32" s="136"/>
      <c r="D32" s="136"/>
      <c r="E32" s="136"/>
      <c r="F32" s="136"/>
      <c r="G32" s="136"/>
      <c r="H32" s="136"/>
      <c r="I32" s="136"/>
      <c r="J32" s="136"/>
      <c r="K32" s="136"/>
      <c r="L32" s="136"/>
    </row>
    <row r="33" spans="2:22" ht="14.25" customHeight="1" x14ac:dyDescent="0.2">
      <c r="C33" s="117"/>
      <c r="D33" s="117"/>
      <c r="E33" s="117"/>
      <c r="F33" s="117"/>
      <c r="G33" s="117"/>
      <c r="H33" s="117"/>
      <c r="I33" s="117"/>
      <c r="J33" s="117"/>
      <c r="K33" s="117"/>
      <c r="L33" s="117"/>
    </row>
    <row r="34" spans="2:22" ht="15.75" hidden="1" x14ac:dyDescent="0.25">
      <c r="B34" s="118"/>
      <c r="C34" s="118"/>
      <c r="D34" s="118"/>
      <c r="E34" s="118"/>
      <c r="F34" s="118"/>
      <c r="G34" s="118"/>
      <c r="H34" s="118"/>
      <c r="I34" s="118"/>
      <c r="J34" s="118"/>
      <c r="K34" s="118"/>
      <c r="L34" s="118"/>
    </row>
    <row r="35" spans="2:22" ht="15.75" x14ac:dyDescent="0.25">
      <c r="B35" s="119" t="s">
        <v>148</v>
      </c>
      <c r="C35" s="120"/>
      <c r="D35" s="115"/>
      <c r="E35" s="115"/>
      <c r="F35" s="115"/>
      <c r="G35" s="115"/>
      <c r="H35" s="115"/>
      <c r="I35" s="115"/>
      <c r="J35" s="115"/>
      <c r="K35" s="115"/>
      <c r="L35" s="115"/>
    </row>
    <row r="36" spans="2:22" s="121" customFormat="1" ht="21.75" customHeight="1" x14ac:dyDescent="0.25">
      <c r="B36" s="121" t="s">
        <v>149</v>
      </c>
    </row>
    <row r="37" spans="2:22" s="121" customFormat="1" ht="16.5" customHeight="1" x14ac:dyDescent="0.25">
      <c r="B37" s="137" t="s">
        <v>150</v>
      </c>
      <c r="C37" s="137"/>
      <c r="D37" s="137"/>
      <c r="E37" s="137"/>
      <c r="F37" s="137"/>
      <c r="G37" s="137"/>
      <c r="H37" s="137"/>
      <c r="I37" s="137"/>
      <c r="J37" s="137"/>
    </row>
    <row r="38" spans="2:22" s="121" customFormat="1" ht="16.5" customHeight="1" x14ac:dyDescent="0.25">
      <c r="B38" s="138" t="s">
        <v>151</v>
      </c>
      <c r="C38" s="138"/>
      <c r="D38" s="138"/>
      <c r="E38" s="138"/>
      <c r="F38" s="138"/>
      <c r="G38" s="138"/>
      <c r="H38" s="138"/>
      <c r="I38" s="138"/>
      <c r="J38" s="122"/>
    </row>
    <row r="39" spans="2:22" s="121" customFormat="1" ht="24" customHeight="1" x14ac:dyDescent="0.25">
      <c r="B39" s="138"/>
      <c r="C39" s="138"/>
      <c r="D39" s="138"/>
      <c r="E39" s="138"/>
      <c r="F39" s="138"/>
      <c r="G39" s="138"/>
      <c r="H39" s="138"/>
      <c r="I39" s="138"/>
      <c r="J39" s="122"/>
    </row>
    <row r="40" spans="2:22" ht="20.25" customHeight="1" x14ac:dyDescent="0.2">
      <c r="B40" s="139" t="s">
        <v>152</v>
      </c>
      <c r="C40" s="139"/>
      <c r="D40" s="139"/>
      <c r="E40" s="139"/>
      <c r="F40" s="123"/>
      <c r="G40" s="139" t="s">
        <v>153</v>
      </c>
      <c r="H40" s="139"/>
      <c r="I40" s="139"/>
      <c r="J40" s="139"/>
      <c r="K40" s="139"/>
      <c r="L40" s="123"/>
    </row>
    <row r="41" spans="2:22" ht="12.75" customHeight="1" x14ac:dyDescent="0.2">
      <c r="B41" s="139"/>
      <c r="C41" s="139"/>
      <c r="D41" s="139"/>
      <c r="E41" s="139"/>
      <c r="F41" s="123"/>
      <c r="G41" s="139"/>
      <c r="H41" s="139"/>
      <c r="I41" s="139"/>
      <c r="J41" s="139"/>
      <c r="K41" s="139"/>
      <c r="L41" s="123"/>
    </row>
    <row r="42" spans="2:22" ht="15.75" x14ac:dyDescent="0.25">
      <c r="B42" s="120" t="s">
        <v>141</v>
      </c>
      <c r="C42" s="120"/>
      <c r="D42" s="120"/>
      <c r="E42" s="124"/>
      <c r="F42" s="120"/>
      <c r="G42" s="120" t="s">
        <v>67</v>
      </c>
      <c r="J42" s="120"/>
      <c r="L42" s="120"/>
      <c r="P42" s="125"/>
      <c r="Q42" s="125"/>
    </row>
    <row r="43" spans="2:22" ht="15.75" x14ac:dyDescent="0.25">
      <c r="B43" s="120" t="s">
        <v>137</v>
      </c>
      <c r="C43" s="120"/>
      <c r="D43" s="120"/>
      <c r="E43" s="124"/>
      <c r="F43" s="120"/>
      <c r="G43" s="120" t="s">
        <v>154</v>
      </c>
      <c r="J43" s="120"/>
      <c r="L43" s="120"/>
      <c r="P43" s="125"/>
      <c r="Q43" s="125"/>
      <c r="U43" s="120"/>
      <c r="V43" s="120"/>
    </row>
    <row r="44" spans="2:22" ht="15.75" x14ac:dyDescent="0.25">
      <c r="B44" s="120" t="s">
        <v>66</v>
      </c>
      <c r="C44" s="120"/>
      <c r="D44" s="120"/>
      <c r="E44" s="120"/>
      <c r="F44" s="120"/>
      <c r="G44" s="120" t="s">
        <v>66</v>
      </c>
      <c r="J44" s="120"/>
      <c r="L44" s="120"/>
      <c r="P44" s="132"/>
      <c r="Q44" s="132"/>
      <c r="U44" s="120"/>
      <c r="V44" s="120"/>
    </row>
    <row r="45" spans="2:22" ht="15.75" x14ac:dyDescent="0.25">
      <c r="B45" s="133" t="s">
        <v>155</v>
      </c>
      <c r="C45" s="134"/>
      <c r="D45" s="134"/>
      <c r="E45" s="120"/>
      <c r="F45" s="120"/>
      <c r="G45" s="126"/>
      <c r="H45" s="127"/>
      <c r="I45" s="126"/>
      <c r="J45" s="120"/>
      <c r="K45" s="120"/>
      <c r="L45" s="120"/>
      <c r="U45" s="120"/>
      <c r="V45" s="120"/>
    </row>
    <row r="46" spans="2:22" ht="15.75" x14ac:dyDescent="0.25">
      <c r="B46" s="128" t="s">
        <v>156</v>
      </c>
      <c r="C46" s="129"/>
      <c r="D46" s="130"/>
      <c r="E46" s="120"/>
      <c r="F46" s="120"/>
      <c r="G46" s="120" t="s">
        <v>157</v>
      </c>
      <c r="H46" s="130"/>
      <c r="I46" s="130"/>
      <c r="J46" s="120"/>
      <c r="K46" s="120"/>
      <c r="L46" s="120"/>
    </row>
    <row r="47" spans="2:22" ht="15.75" x14ac:dyDescent="0.25">
      <c r="B47" s="128"/>
      <c r="C47" s="129"/>
      <c r="D47" s="130"/>
      <c r="E47" s="120"/>
      <c r="F47" s="120"/>
      <c r="G47" s="120" t="s">
        <v>158</v>
      </c>
      <c r="H47" s="130"/>
      <c r="I47" s="130"/>
      <c r="J47" s="120"/>
      <c r="K47" s="120"/>
      <c r="L47" s="120"/>
    </row>
    <row r="48" spans="2:22" ht="15.75" x14ac:dyDescent="0.25">
      <c r="B48" s="128"/>
      <c r="C48" s="129"/>
      <c r="D48" s="130"/>
      <c r="E48" s="120"/>
      <c r="F48" s="120"/>
      <c r="G48" s="120" t="s">
        <v>66</v>
      </c>
      <c r="H48" s="130"/>
      <c r="I48" s="130"/>
      <c r="J48" s="120"/>
      <c r="K48" s="120"/>
      <c r="L48" s="120"/>
    </row>
    <row r="49" spans="2:12" ht="15.75" x14ac:dyDescent="0.25">
      <c r="B49" s="128"/>
      <c r="C49" s="129"/>
      <c r="D49" s="130"/>
      <c r="E49" s="120"/>
      <c r="F49" s="120"/>
      <c r="G49" s="120"/>
      <c r="H49" s="130"/>
      <c r="I49" s="130"/>
      <c r="J49" s="120"/>
      <c r="K49" s="120"/>
      <c r="L49" s="120"/>
    </row>
    <row r="50" spans="2:12" ht="15.75" x14ac:dyDescent="0.25">
      <c r="B50" s="120"/>
      <c r="C50" s="115"/>
      <c r="D50" s="120"/>
      <c r="E50" s="120"/>
      <c r="F50" s="120"/>
      <c r="H50" s="120"/>
      <c r="I50" s="120"/>
      <c r="J50" s="120"/>
      <c r="K50" s="120"/>
      <c r="L50" s="120"/>
    </row>
    <row r="51" spans="2:12" ht="12.75" customHeight="1" x14ac:dyDescent="0.25">
      <c r="B51" s="135" t="s">
        <v>159</v>
      </c>
      <c r="C51" s="135"/>
      <c r="D51" s="135"/>
      <c r="E51" s="135"/>
      <c r="F51" s="135"/>
      <c r="G51" s="135"/>
      <c r="H51" s="135"/>
      <c r="I51" s="135"/>
      <c r="J51" s="135"/>
      <c r="K51" s="135"/>
      <c r="L51" s="135"/>
    </row>
    <row r="52" spans="2:12" ht="16.5" customHeight="1" x14ac:dyDescent="0.25">
      <c r="B52" s="131"/>
      <c r="C52" s="131"/>
      <c r="D52" s="131"/>
      <c r="E52" s="131"/>
      <c r="F52" s="131"/>
      <c r="G52" s="131"/>
      <c r="H52" s="131"/>
      <c r="I52" s="131"/>
      <c r="J52" s="131"/>
      <c r="K52" s="131"/>
      <c r="L52" s="131"/>
    </row>
  </sheetData>
  <sheetProtection algorithmName="SHA-512" hashValue="VEt61g21vDJtDUrhwxkKsfaVX1Cji7gu9Me6Od9j0hlJUctG6qbP/Hbb/fkj9pkFWg76vhU77kaJ/ZOyh2vMwg==" saltValue="Schs6oo3uyTRh9iFxEx56Q==" spinCount="100000" sheet="1" objects="1" scenarios="1"/>
  <mergeCells count="15">
    <mergeCell ref="B28:E28"/>
    <mergeCell ref="B5:I6"/>
    <mergeCell ref="N5:X6"/>
    <mergeCell ref="C8:D8"/>
    <mergeCell ref="E8:F8"/>
    <mergeCell ref="N8:N9"/>
    <mergeCell ref="P44:Q44"/>
    <mergeCell ref="B45:D45"/>
    <mergeCell ref="B51:L51"/>
    <mergeCell ref="B29:L30"/>
    <mergeCell ref="B31:L32"/>
    <mergeCell ref="B37:J37"/>
    <mergeCell ref="B38:I39"/>
    <mergeCell ref="B40:E41"/>
    <mergeCell ref="G40:K41"/>
  </mergeCells>
  <hyperlinks>
    <hyperlink ref="B45" r:id="rId1"/>
    <hyperlink ref="B37:J37" r:id="rId2" display="Evaluating Self-Propelled Sprayer Ownership with Own Sprayer Spreadsheet"/>
  </hyperlinks>
  <printOptions horizontalCentered="1"/>
  <pageMargins left="0.75" right="0.75" top="1" bottom="1" header="0.5" footer="0.5"/>
  <pageSetup scale="77"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Q78"/>
  <sheetViews>
    <sheetView zoomScale="87" workbookViewId="0">
      <selection activeCell="N33" sqref="N33"/>
    </sheetView>
  </sheetViews>
  <sheetFormatPr defaultRowHeight="14.1" customHeight="1" x14ac:dyDescent="0.2"/>
  <cols>
    <col min="1" max="1" width="4.77734375" style="10" customWidth="1"/>
    <col min="2" max="12" width="9.77734375" style="10" customWidth="1"/>
    <col min="13" max="16384" width="8.88671875" style="10"/>
  </cols>
  <sheetData>
    <row r="1" spans="1:17" ht="14.1" customHeight="1" x14ac:dyDescent="0.2">
      <c r="A1" s="10" t="s">
        <v>132</v>
      </c>
    </row>
    <row r="2" spans="1:17" ht="14.1" customHeight="1" thickBot="1" x14ac:dyDescent="0.25">
      <c r="B2" s="53" t="s">
        <v>85</v>
      </c>
      <c r="C2" s="54"/>
      <c r="D2" s="54"/>
      <c r="E2" s="54"/>
      <c r="F2" s="54"/>
      <c r="G2" s="54"/>
      <c r="H2" s="54"/>
      <c r="I2" s="54"/>
      <c r="J2" s="45"/>
      <c r="K2" s="45"/>
      <c r="L2" s="45"/>
      <c r="M2" s="52"/>
    </row>
    <row r="3" spans="1:17" ht="14.1" customHeight="1" x14ac:dyDescent="0.2">
      <c r="B3" s="55"/>
      <c r="C3" s="31"/>
      <c r="D3" s="31"/>
      <c r="E3" s="31"/>
      <c r="F3" s="31"/>
      <c r="G3" s="31"/>
      <c r="H3" s="31"/>
      <c r="I3" s="31"/>
      <c r="J3" s="4"/>
      <c r="K3" s="4"/>
      <c r="L3" s="4"/>
    </row>
    <row r="4" spans="1:17" ht="14.1" customHeight="1" x14ac:dyDescent="0.2">
      <c r="B4" s="4" t="s">
        <v>131</v>
      </c>
      <c r="C4" s="4"/>
      <c r="D4" s="4"/>
      <c r="E4" s="4"/>
      <c r="F4" s="4"/>
      <c r="G4" s="4"/>
      <c r="H4" s="4"/>
      <c r="I4" s="4"/>
      <c r="J4" s="56"/>
      <c r="K4" s="56"/>
      <c r="L4" s="4"/>
    </row>
    <row r="5" spans="1:17" ht="14.1" customHeight="1" x14ac:dyDescent="0.2">
      <c r="B5" s="4"/>
      <c r="C5" s="4"/>
      <c r="D5" s="4"/>
      <c r="E5" s="4"/>
      <c r="F5" s="1"/>
      <c r="G5" s="1"/>
      <c r="H5" s="1"/>
      <c r="I5" s="4"/>
      <c r="J5" s="28" t="s">
        <v>104</v>
      </c>
      <c r="K5" s="28"/>
      <c r="L5" s="4"/>
    </row>
    <row r="6" spans="1:17" ht="14.1" customHeight="1" x14ac:dyDescent="0.2">
      <c r="B6" s="151" t="s">
        <v>111</v>
      </c>
      <c r="C6" s="152"/>
      <c r="D6" s="57"/>
      <c r="E6" s="57"/>
      <c r="F6" s="57"/>
      <c r="G6" s="58" t="s">
        <v>13</v>
      </c>
      <c r="H6" s="58" t="s">
        <v>105</v>
      </c>
      <c r="I6" s="58" t="s">
        <v>106</v>
      </c>
      <c r="J6" s="58" t="s">
        <v>107</v>
      </c>
      <c r="K6" s="58" t="s">
        <v>108</v>
      </c>
      <c r="L6" s="58" t="s">
        <v>109</v>
      </c>
    </row>
    <row r="7" spans="1:17" ht="14.1" customHeight="1" x14ac:dyDescent="0.2">
      <c r="B7" s="56">
        <v>1</v>
      </c>
      <c r="C7" s="59" t="s">
        <v>133</v>
      </c>
      <c r="D7" s="4"/>
      <c r="E7" s="4"/>
      <c r="F7" s="66"/>
      <c r="G7" s="72">
        <v>-6.1642690197482426E-2</v>
      </c>
      <c r="H7" s="72">
        <v>-1.569304718143098E-2</v>
      </c>
      <c r="I7" s="73">
        <v>0</v>
      </c>
      <c r="J7" s="32">
        <v>0.06</v>
      </c>
      <c r="K7" s="32">
        <v>2</v>
      </c>
      <c r="L7" s="32">
        <v>3000</v>
      </c>
      <c r="P7" s="11"/>
      <c r="Q7" s="11"/>
    </row>
    <row r="8" spans="1:17" ht="14.1" customHeight="1" x14ac:dyDescent="0.2">
      <c r="B8" s="56">
        <v>2</v>
      </c>
      <c r="C8" s="59" t="s">
        <v>129</v>
      </c>
      <c r="D8" s="56"/>
      <c r="E8" s="4"/>
      <c r="F8" s="66"/>
      <c r="G8" s="72">
        <v>-4.9242995457910478E-2</v>
      </c>
      <c r="H8" s="72">
        <v>-1.0081075408571625E-2</v>
      </c>
      <c r="I8" s="73">
        <v>0</v>
      </c>
      <c r="J8" s="32">
        <v>0.06</v>
      </c>
      <c r="K8" s="32">
        <v>2</v>
      </c>
      <c r="L8" s="32">
        <v>3000</v>
      </c>
      <c r="P8" s="11"/>
      <c r="Q8" s="11"/>
    </row>
    <row r="9" spans="1:17" ht="14.1" customHeight="1" x14ac:dyDescent="0.2">
      <c r="B9" s="56">
        <v>3</v>
      </c>
      <c r="C9" s="59" t="s">
        <v>134</v>
      </c>
      <c r="D9" s="4"/>
      <c r="E9" s="4"/>
      <c r="F9" s="66"/>
      <c r="G9" s="72">
        <v>-6.9864952813407294E-2</v>
      </c>
      <c r="H9" s="72">
        <v>-1.0804953704999431E-2</v>
      </c>
      <c r="I9" s="73">
        <v>0</v>
      </c>
      <c r="J9" s="32">
        <v>0.06</v>
      </c>
      <c r="K9" s="32">
        <v>2</v>
      </c>
      <c r="L9" s="32">
        <v>3000</v>
      </c>
      <c r="P9" s="11"/>
      <c r="Q9" s="11"/>
    </row>
    <row r="10" spans="1:17" ht="14.1" customHeight="1" x14ac:dyDescent="0.2">
      <c r="A10" s="11"/>
      <c r="B10" s="56">
        <v>4</v>
      </c>
      <c r="C10" s="59" t="s">
        <v>135</v>
      </c>
      <c r="D10" s="4"/>
      <c r="E10" s="4"/>
      <c r="F10" s="66"/>
      <c r="G10" s="72">
        <v>-7.2455046670936912E-2</v>
      </c>
      <c r="H10" s="72">
        <v>-9.3354441547398147E-3</v>
      </c>
      <c r="I10" s="73">
        <v>0</v>
      </c>
      <c r="J10" s="32">
        <v>0.06</v>
      </c>
      <c r="K10" s="56">
        <v>2</v>
      </c>
      <c r="L10" s="56">
        <v>3000</v>
      </c>
      <c r="P10" s="11"/>
      <c r="Q10" s="11"/>
    </row>
    <row r="11" spans="1:17" ht="14.1" customHeight="1" x14ac:dyDescent="0.2">
      <c r="A11" s="11"/>
      <c r="B11" s="56">
        <v>5</v>
      </c>
      <c r="C11" s="59" t="s">
        <v>136</v>
      </c>
      <c r="D11" s="4"/>
      <c r="E11" s="4"/>
      <c r="F11" s="66"/>
      <c r="G11" s="72">
        <v>-7.4236520680335552E-2</v>
      </c>
      <c r="H11" s="72">
        <v>-1.2933229587339813E-2</v>
      </c>
      <c r="I11" s="73">
        <v>0</v>
      </c>
      <c r="J11" s="32">
        <v>0.06</v>
      </c>
      <c r="K11" s="56">
        <v>2</v>
      </c>
      <c r="L11" s="56">
        <v>3000</v>
      </c>
      <c r="P11" s="11"/>
      <c r="Q11" s="11"/>
    </row>
    <row r="12" spans="1:17" ht="14.1" customHeight="1" x14ac:dyDescent="0.2">
      <c r="A12" s="11"/>
      <c r="B12" s="56">
        <v>6</v>
      </c>
      <c r="C12" s="59" t="s">
        <v>130</v>
      </c>
      <c r="D12" s="4"/>
      <c r="E12" s="4"/>
      <c r="F12" s="66"/>
      <c r="G12" s="72">
        <v>-4.364375105325799E-2</v>
      </c>
      <c r="H12" s="72">
        <v>-1.064220636553184E-2</v>
      </c>
      <c r="I12" s="73">
        <v>0</v>
      </c>
      <c r="J12" s="32">
        <v>0.06</v>
      </c>
      <c r="K12" s="56">
        <v>2</v>
      </c>
      <c r="L12" s="56">
        <v>3000</v>
      </c>
      <c r="P12" s="11"/>
      <c r="Q12" s="11"/>
    </row>
    <row r="13" spans="1:17" ht="14.1" customHeight="1" x14ac:dyDescent="0.2">
      <c r="A13" s="11"/>
      <c r="B13" s="58"/>
      <c r="C13" s="57"/>
      <c r="D13" s="57"/>
      <c r="E13" s="57"/>
      <c r="F13" s="57"/>
      <c r="G13" s="70"/>
      <c r="H13" s="70"/>
      <c r="I13" s="74"/>
      <c r="J13" s="58"/>
      <c r="K13" s="58"/>
      <c r="L13" s="58"/>
    </row>
    <row r="14" spans="1:17" ht="14.1" customHeight="1" x14ac:dyDescent="0.2">
      <c r="A14" s="11"/>
      <c r="B14" s="4"/>
      <c r="C14" s="60" t="s">
        <v>110</v>
      </c>
      <c r="D14" s="4"/>
      <c r="E14" s="4"/>
      <c r="F14" s="60" t="str">
        <f>IF($F16=1,C7,IF($F16=2,C8,IF($F16=3,C9,IF($F16=4,C10,IF($F16=5,C11,IF($F16=6,C12,"NA"))))))</f>
        <v>RoGator984HtankSS900boom90</v>
      </c>
      <c r="G14" s="71">
        <f t="shared" ref="G14:L14" si="0">IF($F16=1,G7,IF($F16=2,G8,IF($F16=3,G9,IF($F16=4,G10,IF($F16=5,G11,IF($F16=6,G12,"NA"))))))</f>
        <v>-7.4236520680335552E-2</v>
      </c>
      <c r="H14" s="71">
        <f t="shared" si="0"/>
        <v>-1.2933229587339813E-2</v>
      </c>
      <c r="I14" s="75">
        <f t="shared" si="0"/>
        <v>0</v>
      </c>
      <c r="J14" s="56">
        <f t="shared" si="0"/>
        <v>0.06</v>
      </c>
      <c r="K14" s="56">
        <f t="shared" si="0"/>
        <v>2</v>
      </c>
      <c r="L14" s="56">
        <f t="shared" si="0"/>
        <v>3000</v>
      </c>
      <c r="M14" s="11"/>
    </row>
    <row r="15" spans="1:17" ht="14.1" customHeight="1" thickBot="1" x14ac:dyDescent="0.25">
      <c r="A15" s="11"/>
      <c r="B15" s="2"/>
      <c r="C15" s="12"/>
      <c r="D15" s="12"/>
      <c r="E15" s="12"/>
      <c r="F15" s="12"/>
      <c r="G15" s="12"/>
      <c r="H15" s="12"/>
      <c r="I15" s="12"/>
      <c r="J15" s="12"/>
      <c r="K15" s="12"/>
      <c r="L15" s="12"/>
      <c r="M15" s="13"/>
    </row>
    <row r="16" spans="1:17" ht="14.1" customHeight="1" x14ac:dyDescent="0.2">
      <c r="B16" s="1" t="s">
        <v>111</v>
      </c>
      <c r="C16" s="1"/>
      <c r="D16" s="1"/>
      <c r="E16" s="1"/>
      <c r="F16" s="14">
        <v>5</v>
      </c>
      <c r="G16" s="1"/>
      <c r="H16" s="1" t="s">
        <v>89</v>
      </c>
      <c r="I16" s="1"/>
      <c r="J16" s="1"/>
      <c r="K16" s="1"/>
      <c r="L16" s="15">
        <v>0.05</v>
      </c>
      <c r="M16" s="1"/>
    </row>
    <row r="17" spans="2:14" ht="14.1" customHeight="1" x14ac:dyDescent="0.2">
      <c r="B17" s="1" t="s">
        <v>0</v>
      </c>
      <c r="C17" s="1"/>
      <c r="D17" s="1"/>
      <c r="E17" s="1"/>
      <c r="F17" s="14">
        <v>0</v>
      </c>
      <c r="G17" s="16"/>
      <c r="H17" s="1" t="s">
        <v>18</v>
      </c>
      <c r="I17" s="1"/>
      <c r="J17" s="1"/>
      <c r="K17" s="1"/>
      <c r="L17" s="22">
        <f>L16*(1-L18-L19)</f>
        <v>3.2350000000000004E-2</v>
      </c>
      <c r="M17" s="1"/>
    </row>
    <row r="18" spans="2:14" ht="14.1" customHeight="1" x14ac:dyDescent="0.2">
      <c r="B18" s="1" t="s">
        <v>1</v>
      </c>
      <c r="C18" s="1"/>
      <c r="D18" s="1"/>
      <c r="E18" s="1"/>
      <c r="F18" s="14">
        <v>0</v>
      </c>
      <c r="G18" s="16"/>
      <c r="H18" s="1" t="s">
        <v>90</v>
      </c>
      <c r="I18" s="1"/>
      <c r="J18" s="1"/>
      <c r="K18" s="1"/>
      <c r="L18" s="17">
        <v>0.2</v>
      </c>
      <c r="M18" s="1"/>
    </row>
    <row r="19" spans="2:14" ht="14.1" customHeight="1" x14ac:dyDescent="0.2">
      <c r="B19" s="1" t="s">
        <v>125</v>
      </c>
      <c r="C19" s="1"/>
      <c r="D19" s="1"/>
      <c r="E19" s="1"/>
      <c r="F19" s="18">
        <v>200000</v>
      </c>
      <c r="G19" s="16"/>
      <c r="H19" s="1" t="s">
        <v>17</v>
      </c>
      <c r="I19" s="1"/>
      <c r="J19" s="1"/>
      <c r="K19" s="1"/>
      <c r="L19" s="20">
        <v>0.153</v>
      </c>
      <c r="M19" s="1"/>
    </row>
    <row r="20" spans="2:14" ht="14.1" customHeight="1" x14ac:dyDescent="0.2">
      <c r="B20" s="1" t="s">
        <v>126</v>
      </c>
      <c r="C20" s="1"/>
      <c r="D20" s="1"/>
      <c r="E20" s="1"/>
      <c r="F20" s="18">
        <v>200000</v>
      </c>
      <c r="G20" s="16"/>
      <c r="H20" s="1" t="s">
        <v>160</v>
      </c>
      <c r="I20" s="1"/>
      <c r="J20" s="1"/>
      <c r="K20" s="1"/>
      <c r="L20" s="18">
        <v>0</v>
      </c>
      <c r="M20" s="1"/>
    </row>
    <row r="21" spans="2:14" ht="14.1" customHeight="1" x14ac:dyDescent="0.2">
      <c r="B21" s="1" t="s">
        <v>30</v>
      </c>
      <c r="C21" s="1"/>
      <c r="D21" s="1"/>
      <c r="E21" s="1"/>
      <c r="F21" s="18">
        <v>40000</v>
      </c>
      <c r="G21" s="16"/>
      <c r="H21" s="1" t="str">
        <f>FIXED('User input'!F74*100,0)&amp;"% bonus 1st-yr dep. On new equip. (yes=1, no=0)"</f>
        <v>50% bonus 1st-yr dep. On new equip. (yes=1, no=0)</v>
      </c>
      <c r="I21" s="1"/>
      <c r="J21" s="1"/>
      <c r="K21" s="1"/>
      <c r="L21" s="14">
        <v>1</v>
      </c>
      <c r="M21" s="1"/>
    </row>
    <row r="22" spans="2:14" ht="14.1" customHeight="1" x14ac:dyDescent="0.2">
      <c r="B22" s="1" t="s">
        <v>2</v>
      </c>
      <c r="C22" s="1"/>
      <c r="D22" s="1"/>
      <c r="E22" s="21"/>
      <c r="F22" s="47">
        <f>F20/EXP(G14*F17+H14*F18/100+I14*F17*F18/100)</f>
        <v>200000</v>
      </c>
      <c r="G22" s="16"/>
      <c r="H22" s="1" t="s">
        <v>138</v>
      </c>
      <c r="I22" s="1"/>
      <c r="J22" s="1"/>
      <c r="K22" s="1"/>
      <c r="L22" s="47">
        <f>IF(AND(F17=0,L21=1),(F22-MIN(F22,MIN('User input'!F73,L20)))*'User input'!F74,0)</f>
        <v>100000</v>
      </c>
      <c r="M22" s="1"/>
    </row>
    <row r="23" spans="2:14" ht="14.1" customHeight="1" x14ac:dyDescent="0.2">
      <c r="B23" s="1"/>
      <c r="C23" s="1"/>
      <c r="D23" s="1"/>
      <c r="E23" s="1"/>
      <c r="F23" s="1"/>
      <c r="G23" s="16"/>
      <c r="H23" s="1" t="s">
        <v>20</v>
      </c>
      <c r="I23" s="1"/>
      <c r="J23" s="1"/>
      <c r="K23" s="1"/>
      <c r="L23" s="6">
        <f>F19-MIN(F19,MIN(L20,'User input'!F73))-L22</f>
        <v>100000</v>
      </c>
      <c r="M23" s="1"/>
    </row>
    <row r="24" spans="2:14" ht="14.1" customHeight="1" x14ac:dyDescent="0.2">
      <c r="B24" s="1" t="s">
        <v>127</v>
      </c>
      <c r="C24" s="1"/>
      <c r="D24" s="1"/>
      <c r="E24" s="1"/>
      <c r="F24" s="14">
        <v>7</v>
      </c>
      <c r="G24" s="16"/>
      <c r="H24" s="1"/>
      <c r="I24" s="1"/>
      <c r="J24" s="1"/>
      <c r="K24" s="1"/>
      <c r="L24" s="1"/>
      <c r="M24" s="1"/>
      <c r="N24" s="68"/>
    </row>
    <row r="25" spans="2:14" ht="13.5" customHeight="1" x14ac:dyDescent="0.2">
      <c r="B25" s="1" t="s">
        <v>3</v>
      </c>
      <c r="C25" s="1"/>
      <c r="D25" s="1"/>
      <c r="E25" s="1"/>
      <c r="F25" s="14">
        <v>90</v>
      </c>
      <c r="G25" s="1"/>
      <c r="H25" s="1" t="s">
        <v>21</v>
      </c>
      <c r="I25" s="1"/>
      <c r="J25" s="1"/>
      <c r="K25" s="1"/>
      <c r="L25" s="15">
        <v>0.1429</v>
      </c>
      <c r="M25" s="1"/>
    </row>
    <row r="26" spans="2:14" ht="14.1" customHeight="1" x14ac:dyDescent="0.2">
      <c r="B26" s="1" t="s">
        <v>4</v>
      </c>
      <c r="C26" s="1"/>
      <c r="D26" s="1"/>
      <c r="E26" s="1"/>
      <c r="F26" s="14">
        <v>12</v>
      </c>
      <c r="G26" s="19"/>
      <c r="H26" s="1" t="s">
        <v>22</v>
      </c>
      <c r="I26" s="1"/>
      <c r="J26" s="1"/>
      <c r="K26" s="1"/>
      <c r="L26" s="15">
        <v>0.24490000000000001</v>
      </c>
      <c r="M26" s="1"/>
    </row>
    <row r="27" spans="2:14" ht="14.1" customHeight="1" x14ac:dyDescent="0.2">
      <c r="B27" s="1" t="s">
        <v>5</v>
      </c>
      <c r="C27" s="1"/>
      <c r="D27" s="1"/>
      <c r="E27" s="1"/>
      <c r="F27" s="25">
        <f>F25*F26*5280/43560</f>
        <v>130.90909090909091</v>
      </c>
      <c r="G27" s="1"/>
      <c r="H27" s="1" t="s">
        <v>23</v>
      </c>
      <c r="I27" s="1"/>
      <c r="J27" s="1"/>
      <c r="K27" s="1"/>
      <c r="L27" s="15">
        <v>0.1749</v>
      </c>
      <c r="M27" s="1"/>
    </row>
    <row r="28" spans="2:14" ht="14.1" customHeight="1" x14ac:dyDescent="0.2">
      <c r="B28" s="1" t="s">
        <v>86</v>
      </c>
      <c r="C28" s="1"/>
      <c r="D28" s="1"/>
      <c r="E28" s="1"/>
      <c r="F28" s="15">
        <v>0.35249999999999998</v>
      </c>
      <c r="G28" s="1"/>
      <c r="H28" s="1" t="s">
        <v>24</v>
      </c>
      <c r="I28" s="1"/>
      <c r="J28" s="1"/>
      <c r="K28" s="1"/>
      <c r="L28" s="15">
        <v>0.1249</v>
      </c>
      <c r="M28" s="1"/>
    </row>
    <row r="29" spans="2:14" ht="14.1" customHeight="1" x14ac:dyDescent="0.2">
      <c r="B29" s="1" t="s">
        <v>88</v>
      </c>
      <c r="C29" s="1"/>
      <c r="D29" s="1"/>
      <c r="E29" s="1"/>
      <c r="F29" s="25">
        <f>F27*F28</f>
        <v>46.145454545454541</v>
      </c>
      <c r="G29" s="24"/>
      <c r="H29" s="1" t="s">
        <v>25</v>
      </c>
      <c r="I29" s="1"/>
      <c r="J29" s="1"/>
      <c r="K29" s="1"/>
      <c r="L29" s="15">
        <v>8.9300000000000004E-2</v>
      </c>
      <c r="M29" s="1"/>
    </row>
    <row r="30" spans="2:14" ht="14.1" customHeight="1" x14ac:dyDescent="0.2">
      <c r="B30" s="1" t="s">
        <v>6</v>
      </c>
      <c r="C30" s="1"/>
      <c r="D30" s="1"/>
      <c r="E30" s="1"/>
      <c r="F30" s="26">
        <v>50000</v>
      </c>
      <c r="G30" s="1"/>
      <c r="H30" s="1" t="s">
        <v>26</v>
      </c>
      <c r="I30" s="1"/>
      <c r="J30" s="1"/>
      <c r="K30" s="1"/>
      <c r="L30" s="15">
        <v>8.9200000000000002E-2</v>
      </c>
    </row>
    <row r="31" spans="2:14" ht="14.1" customHeight="1" x14ac:dyDescent="0.2">
      <c r="B31" s="1" t="s">
        <v>87</v>
      </c>
      <c r="C31" s="1"/>
      <c r="D31" s="1"/>
      <c r="E31" s="1"/>
      <c r="F31" s="46">
        <f>F30/F29</f>
        <v>1083.5303388494879</v>
      </c>
      <c r="G31" s="1"/>
      <c r="H31" s="1" t="s">
        <v>27</v>
      </c>
      <c r="I31" s="1"/>
      <c r="J31" s="1"/>
      <c r="K31" s="1"/>
      <c r="L31" s="15">
        <v>8.9300000000000004E-2</v>
      </c>
      <c r="M31" s="47"/>
    </row>
    <row r="32" spans="2:14" ht="14.1" customHeight="1" x14ac:dyDescent="0.2">
      <c r="G32" s="1"/>
      <c r="H32" s="1" t="s">
        <v>28</v>
      </c>
      <c r="I32" s="1"/>
      <c r="J32" s="1"/>
      <c r="K32" s="1"/>
      <c r="L32" s="15">
        <v>4.4600000000000001E-2</v>
      </c>
      <c r="M32" s="1"/>
    </row>
    <row r="33" spans="1:13" ht="14.1" customHeight="1" x14ac:dyDescent="0.2">
      <c r="B33" s="1" t="s">
        <v>50</v>
      </c>
      <c r="G33" s="1"/>
      <c r="H33" s="1" t="s">
        <v>29</v>
      </c>
      <c r="I33" s="1"/>
      <c r="J33" s="1"/>
      <c r="K33" s="1"/>
      <c r="L33" s="22">
        <f>SUM(L25:L32)</f>
        <v>1.0000000000000002</v>
      </c>
      <c r="M33" s="1"/>
    </row>
    <row r="34" spans="1:13" ht="14.1" customHeight="1" x14ac:dyDescent="0.2">
      <c r="B34" s="1" t="s">
        <v>124</v>
      </c>
      <c r="C34" s="1"/>
      <c r="D34" s="1"/>
      <c r="E34" s="1"/>
      <c r="F34" s="14">
        <v>1.25</v>
      </c>
      <c r="G34" s="1"/>
      <c r="H34" s="1" t="s">
        <v>19</v>
      </c>
      <c r="I34" s="1"/>
      <c r="J34" s="1"/>
      <c r="K34" s="1"/>
      <c r="L34" s="23">
        <f>L17/(1-(1+L17)^-F24)</f>
        <v>0.16193090426268791</v>
      </c>
      <c r="M34" s="1"/>
    </row>
    <row r="35" spans="1:13" ht="14.1" customHeight="1" x14ac:dyDescent="0.2">
      <c r="B35" s="1" t="s">
        <v>117</v>
      </c>
      <c r="C35" s="1"/>
      <c r="D35" s="1"/>
      <c r="E35" s="1"/>
      <c r="F35" s="27">
        <v>15</v>
      </c>
      <c r="G35" s="16"/>
      <c r="H35" s="1" t="s">
        <v>91</v>
      </c>
      <c r="I35" s="1"/>
      <c r="J35" s="1"/>
      <c r="K35" s="1"/>
      <c r="L35" s="23">
        <f>1/(1+L17)</f>
        <v>0.96866372838669046</v>
      </c>
      <c r="M35" s="1"/>
    </row>
    <row r="36" spans="1:13" ht="14.1" customHeight="1" x14ac:dyDescent="0.2">
      <c r="B36" s="1" t="s">
        <v>118</v>
      </c>
      <c r="C36" s="1"/>
      <c r="D36" s="1"/>
      <c r="E36" s="1"/>
      <c r="F36" s="21">
        <f>F35*F34/F29</f>
        <v>0.40632387706855794</v>
      </c>
      <c r="G36" s="16"/>
      <c r="M36" s="1"/>
    </row>
    <row r="37" spans="1:13" ht="14.1" customHeight="1" x14ac:dyDescent="0.2">
      <c r="B37" s="1" t="s">
        <v>51</v>
      </c>
      <c r="G37" s="1"/>
      <c r="H37" s="1" t="s">
        <v>96</v>
      </c>
      <c r="I37" s="1"/>
      <c r="J37" s="1"/>
      <c r="K37" s="1"/>
      <c r="L37" s="27">
        <v>12</v>
      </c>
      <c r="M37" s="1"/>
    </row>
    <row r="38" spans="1:13" ht="14.1" customHeight="1" x14ac:dyDescent="0.2">
      <c r="B38" s="1" t="s">
        <v>119</v>
      </c>
      <c r="C38" s="1"/>
      <c r="D38" s="1"/>
      <c r="E38" s="1"/>
      <c r="F38" s="14">
        <v>10</v>
      </c>
      <c r="G38" s="1"/>
      <c r="H38" s="1" t="s">
        <v>97</v>
      </c>
      <c r="I38" s="1"/>
      <c r="J38" s="1"/>
      <c r="K38" s="1"/>
      <c r="L38" s="27">
        <v>1.2</v>
      </c>
      <c r="M38" s="1"/>
    </row>
    <row r="39" spans="1:13" ht="14.1" customHeight="1" x14ac:dyDescent="0.2">
      <c r="B39" s="1" t="s">
        <v>120</v>
      </c>
      <c r="C39" s="1"/>
      <c r="D39" s="1"/>
      <c r="E39" s="1"/>
      <c r="F39" s="27">
        <v>2.25</v>
      </c>
      <c r="G39" s="1"/>
      <c r="H39" s="1" t="s">
        <v>98</v>
      </c>
      <c r="I39" s="1"/>
      <c r="J39" s="1"/>
      <c r="K39" s="1"/>
      <c r="L39" s="21">
        <f>L37/F29+L38</f>
        <v>1.460047281323877</v>
      </c>
      <c r="M39" s="1"/>
    </row>
    <row r="40" spans="1:13" ht="14.1" customHeight="1" x14ac:dyDescent="0.2">
      <c r="B40" s="1" t="s">
        <v>121</v>
      </c>
      <c r="C40" s="1"/>
      <c r="D40" s="1"/>
      <c r="E40" s="1"/>
      <c r="F40" s="17">
        <v>0.1</v>
      </c>
      <c r="G40" s="1"/>
      <c r="M40" s="1"/>
    </row>
    <row r="41" spans="1:13" ht="14.1" customHeight="1" x14ac:dyDescent="0.2">
      <c r="B41" s="1" t="s">
        <v>122</v>
      </c>
      <c r="C41" s="1"/>
      <c r="D41" s="1"/>
      <c r="E41" s="1"/>
      <c r="F41" s="21">
        <f>F38*F39*(1+F40)</f>
        <v>24.750000000000004</v>
      </c>
      <c r="G41" s="1"/>
      <c r="H41" s="1" t="s">
        <v>31</v>
      </c>
      <c r="I41" s="1"/>
      <c r="J41" s="1"/>
      <c r="K41" s="1"/>
      <c r="L41" s="6">
        <f>'Time and tax (TT)'!U4</f>
        <v>356001.55379824637</v>
      </c>
      <c r="M41" s="8" t="str">
        <f>IF(OR(L33&gt;1.01,L33&lt;0.99),"&lt;= Error!"," ")</f>
        <v xml:space="preserve"> </v>
      </c>
    </row>
    <row r="42" spans="1:13" ht="14.1" customHeight="1" x14ac:dyDescent="0.2">
      <c r="B42" s="1" t="s">
        <v>123</v>
      </c>
      <c r="C42" s="1"/>
      <c r="D42" s="1"/>
      <c r="E42" s="1"/>
      <c r="F42" s="21">
        <f>F41/F29</f>
        <v>0.5363475177304966</v>
      </c>
      <c r="G42" s="1"/>
      <c r="H42" s="1" t="s">
        <v>32</v>
      </c>
      <c r="I42" s="1"/>
      <c r="J42" s="1"/>
      <c r="K42" s="1"/>
      <c r="L42" s="6">
        <f>L34*L41</f>
        <v>57647.653525471971</v>
      </c>
      <c r="M42" s="1"/>
    </row>
    <row r="43" spans="1:13" ht="14.1" customHeight="1" x14ac:dyDescent="0.2">
      <c r="B43" s="1" t="s">
        <v>114</v>
      </c>
      <c r="G43" s="1"/>
      <c r="H43" s="1" t="s">
        <v>33</v>
      </c>
      <c r="I43" s="1"/>
      <c r="J43" s="1"/>
      <c r="K43" s="1"/>
      <c r="L43" s="6">
        <f>L42/(1-L18-L19)</f>
        <v>89099.928169199338</v>
      </c>
      <c r="M43" s="1"/>
    </row>
    <row r="44" spans="1:13" ht="14.1" customHeight="1" x14ac:dyDescent="0.2">
      <c r="B44" s="1" t="s">
        <v>113</v>
      </c>
      <c r="C44" s="1"/>
      <c r="D44" s="1"/>
      <c r="E44" s="1"/>
      <c r="F44" s="29">
        <v>1</v>
      </c>
      <c r="G44" s="1"/>
      <c r="H44" s="1" t="s">
        <v>95</v>
      </c>
      <c r="I44" s="1"/>
      <c r="J44" s="1"/>
      <c r="K44" s="1"/>
      <c r="L44" s="6">
        <f>L43*'Time and tax (TT)'!G7</f>
        <v>5731.5220838646583</v>
      </c>
      <c r="M44" s="1"/>
    </row>
    <row r="45" spans="1:13" ht="14.1" customHeight="1" x14ac:dyDescent="0.2">
      <c r="B45" s="1" t="s">
        <v>115</v>
      </c>
      <c r="C45" s="1"/>
      <c r="D45" s="1"/>
      <c r="E45" s="21"/>
      <c r="F45" s="62">
        <f>(K14*J14*F22*'User input'!F77*(L14/1000)^(K14-1))/1000</f>
        <v>72</v>
      </c>
      <c r="G45" s="1"/>
      <c r="H45" s="1" t="s">
        <v>94</v>
      </c>
      <c r="I45" s="1"/>
      <c r="J45" s="1"/>
      <c r="K45" s="1"/>
      <c r="L45" s="47">
        <f>L43*'Time and tax (TT)'!H7</f>
        <v>22118.159487297904</v>
      </c>
      <c r="M45" s="1"/>
    </row>
    <row r="46" spans="1:13" ht="14.1" customHeight="1" x14ac:dyDescent="0.2">
      <c r="B46" s="11"/>
      <c r="C46" s="11"/>
      <c r="D46" s="11"/>
      <c r="E46" s="11"/>
      <c r="F46" s="11"/>
      <c r="G46" s="1"/>
      <c r="H46" s="1" t="s">
        <v>92</v>
      </c>
      <c r="I46" s="1"/>
      <c r="J46" s="1"/>
      <c r="K46" s="1"/>
      <c r="L46" s="47">
        <f>L43*'Time and tax (TT)'!Q7</f>
        <v>59530.789972877385</v>
      </c>
      <c r="M46" s="1"/>
    </row>
    <row r="47" spans="1:13" ht="14.1" customHeight="1" thickBot="1" x14ac:dyDescent="0.25">
      <c r="A47" s="11"/>
      <c r="B47" s="45" t="s">
        <v>116</v>
      </c>
      <c r="C47" s="45"/>
      <c r="D47" s="45"/>
      <c r="E47" s="45"/>
      <c r="F47" s="67">
        <v>1.4999999999999999E-2</v>
      </c>
      <c r="G47" s="45"/>
      <c r="H47" s="45" t="s">
        <v>93</v>
      </c>
      <c r="I47" s="45"/>
      <c r="J47" s="45"/>
      <c r="K47" s="45"/>
      <c r="L47" s="65">
        <f>L43*'Time and tax (TT)'!O7</f>
        <v>1719.4566251593974</v>
      </c>
      <c r="M47" s="1"/>
    </row>
    <row r="48" spans="1:13" ht="14.1" customHeight="1" x14ac:dyDescent="0.2">
      <c r="B48" s="11"/>
      <c r="C48" s="11"/>
      <c r="D48" s="11"/>
      <c r="E48" s="11"/>
      <c r="F48" s="11"/>
      <c r="G48" s="16"/>
      <c r="H48" s="1"/>
      <c r="I48" s="1"/>
      <c r="J48" s="1"/>
      <c r="K48" s="1"/>
      <c r="L48" s="1"/>
      <c r="M48" s="1"/>
    </row>
    <row r="49" spans="2:13" ht="14.1" customHeight="1" x14ac:dyDescent="0.2">
      <c r="G49" s="16"/>
      <c r="M49" s="21"/>
    </row>
    <row r="50" spans="2:13" ht="14.1" customHeight="1" x14ac:dyDescent="0.2">
      <c r="B50" s="1"/>
      <c r="C50" s="1"/>
      <c r="D50" s="1"/>
      <c r="E50" s="1"/>
      <c r="F50" s="1"/>
      <c r="G50" s="1"/>
      <c r="H50" s="1"/>
      <c r="I50" s="1"/>
      <c r="J50" s="1"/>
      <c r="K50" s="1"/>
      <c r="L50" s="21"/>
      <c r="M50" s="1"/>
    </row>
    <row r="61" spans="2:13" ht="14.1" customHeight="1" x14ac:dyDescent="0.2">
      <c r="C61" s="59"/>
      <c r="D61" s="4"/>
      <c r="E61" s="4"/>
      <c r="F61" s="66"/>
      <c r="I61" s="11"/>
      <c r="J61" s="32"/>
      <c r="K61" s="56"/>
      <c r="L61" s="56"/>
    </row>
    <row r="70" spans="2:7" ht="14.1" customHeight="1" thickBot="1" x14ac:dyDescent="0.25"/>
    <row r="71" spans="2:7" ht="14.1" customHeight="1" x14ac:dyDescent="0.2">
      <c r="B71" s="77"/>
      <c r="C71" s="78"/>
      <c r="D71" s="78"/>
      <c r="E71" s="78"/>
      <c r="F71" s="78"/>
      <c r="G71" s="79"/>
    </row>
    <row r="72" spans="2:7" ht="14.1" customHeight="1" x14ac:dyDescent="0.2">
      <c r="B72" s="80" t="s">
        <v>103</v>
      </c>
      <c r="C72" s="76"/>
      <c r="D72" s="76"/>
      <c r="E72" s="76"/>
      <c r="F72" s="87">
        <v>2016</v>
      </c>
      <c r="G72" s="81"/>
    </row>
    <row r="73" spans="2:7" ht="14.1" customHeight="1" x14ac:dyDescent="0.2">
      <c r="B73" s="80" t="s">
        <v>102</v>
      </c>
      <c r="C73" s="76"/>
      <c r="D73" s="76"/>
      <c r="E73" s="76"/>
      <c r="F73" s="88">
        <v>500000</v>
      </c>
      <c r="G73" s="81"/>
    </row>
    <row r="74" spans="2:7" ht="14.1" customHeight="1" x14ac:dyDescent="0.2">
      <c r="B74" s="80" t="s">
        <v>140</v>
      </c>
      <c r="C74" s="76"/>
      <c r="D74" s="76"/>
      <c r="E74" s="76"/>
      <c r="F74" s="89">
        <v>0.5</v>
      </c>
      <c r="G74" s="81"/>
    </row>
    <row r="75" spans="2:7" ht="14.1" customHeight="1" x14ac:dyDescent="0.2">
      <c r="B75" s="80" t="s">
        <v>139</v>
      </c>
      <c r="C75" s="76"/>
      <c r="D75" s="76"/>
      <c r="E75" s="76"/>
      <c r="F75" s="87">
        <v>0</v>
      </c>
      <c r="G75" s="81"/>
    </row>
    <row r="76" spans="2:7" ht="14.1" customHeight="1" x14ac:dyDescent="0.2">
      <c r="B76" s="82" t="s">
        <v>112</v>
      </c>
      <c r="C76" s="83"/>
      <c r="D76" s="83"/>
      <c r="E76" s="83"/>
      <c r="F76" s="90">
        <v>0</v>
      </c>
      <c r="G76" s="81"/>
    </row>
    <row r="77" spans="2:7" ht="14.1" customHeight="1" x14ac:dyDescent="0.2">
      <c r="B77" s="82" t="s">
        <v>128</v>
      </c>
      <c r="C77" s="83"/>
      <c r="D77" s="83"/>
      <c r="E77" s="83"/>
      <c r="F77" s="91">
        <v>1</v>
      </c>
      <c r="G77" s="81"/>
    </row>
    <row r="78" spans="2:7" ht="14.1" customHeight="1" thickBot="1" x14ac:dyDescent="0.25">
      <c r="B78" s="84"/>
      <c r="C78" s="85"/>
      <c r="D78" s="85"/>
      <c r="E78" s="85"/>
      <c r="F78" s="85"/>
      <c r="G78" s="86"/>
    </row>
  </sheetData>
  <sheetProtection algorithmName="SHA-512" hashValue="Hq9otT0RXlPhqb1mGa2QVIQ1j9lSY2fJZhkaKEiojJeuaUuWA+AK29OL4ijVNeR3lmtjR7g5bzJFIhrO1VzYXA==" saltValue="l4ew8Gv6diZJw1c39TDZEw==" spinCount="100000" sheet="1" objects="1" scenarios="1"/>
  <mergeCells count="1">
    <mergeCell ref="B6:C6"/>
  </mergeCells>
  <phoneticPr fontId="0" type="noConversion"/>
  <pageMargins left="0.75" right="0.75" top="0.75" bottom="0.75" header="0.5" footer="0.25"/>
  <pageSetup scale="74" orientation="landscape" r:id="rId1"/>
  <headerFooter alignWithMargins="0">
    <oddFooter>&amp;C&amp;10OwnSpray.xls -- Developed by Terry Kastens and Kevin Dhuyvetter
Extension Agricultural Economists, Kansas State University
&amp;R&amp;10Input page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Print1">
                <anchor moveWithCells="1" sizeWithCells="1">
                  <from>
                    <xdr:col>10</xdr:col>
                    <xdr:colOff>47625</xdr:colOff>
                    <xdr:row>1</xdr:row>
                    <xdr:rowOff>28575</xdr:rowOff>
                  </from>
                  <to>
                    <xdr:col>10</xdr:col>
                    <xdr:colOff>790575</xdr:colOff>
                    <xdr:row>2</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2:U65"/>
  <sheetViews>
    <sheetView zoomScale="87" workbookViewId="0"/>
  </sheetViews>
  <sheetFormatPr defaultRowHeight="14.1" customHeight="1" x14ac:dyDescent="0.2"/>
  <cols>
    <col min="1" max="1" width="2.77734375" style="10" customWidth="1"/>
    <col min="2" max="2" width="4.77734375" style="10" customWidth="1"/>
    <col min="3" max="20" width="7.77734375" style="10" customWidth="1"/>
    <col min="21" max="21" width="8.77734375" style="10" customWidth="1"/>
    <col min="22" max="16384" width="8.88671875" style="10"/>
  </cols>
  <sheetData>
    <row r="2" spans="2:21" ht="14.1" customHeight="1" thickBot="1" x14ac:dyDescent="0.25">
      <c r="B2" s="3" t="s">
        <v>7</v>
      </c>
      <c r="C2" s="12"/>
      <c r="D2" s="12"/>
      <c r="E2" s="12"/>
      <c r="F2" s="12"/>
      <c r="G2" s="12"/>
      <c r="H2" s="12"/>
      <c r="I2" s="12"/>
      <c r="J2" s="12"/>
      <c r="K2" s="12"/>
      <c r="L2" s="12"/>
      <c r="M2" s="12"/>
      <c r="N2" s="12"/>
      <c r="O2" s="3"/>
      <c r="P2" s="3"/>
      <c r="Q2" s="30"/>
      <c r="R2" s="30"/>
      <c r="S2" s="30"/>
      <c r="T2" s="30"/>
      <c r="U2" s="30"/>
    </row>
    <row r="3" spans="2:21" ht="14.1" customHeight="1" thickBot="1" x14ac:dyDescent="0.25">
      <c r="B3" s="4"/>
      <c r="C3" s="31"/>
      <c r="D3" s="31"/>
      <c r="E3" s="31"/>
      <c r="F3" s="31"/>
      <c r="G3" s="31"/>
      <c r="H3" s="31"/>
      <c r="I3" s="31"/>
      <c r="J3" s="31"/>
      <c r="K3" s="31"/>
      <c r="L3" s="31"/>
      <c r="M3" s="31"/>
      <c r="N3" s="31"/>
      <c r="O3" s="4"/>
      <c r="P3" s="4"/>
      <c r="Q3" s="11"/>
      <c r="R3" s="11"/>
      <c r="S3" s="11"/>
      <c r="T3" s="11"/>
      <c r="U3" s="11"/>
    </row>
    <row r="4" spans="2:21" ht="14.1" customHeight="1" thickBot="1" x14ac:dyDescent="0.25">
      <c r="B4" s="1"/>
      <c r="C4" s="13"/>
      <c r="D4" s="13"/>
      <c r="E4" s="49"/>
      <c r="G4" s="13"/>
      <c r="H4" s="13"/>
      <c r="J4" s="13"/>
      <c r="K4" s="13"/>
      <c r="L4" s="13"/>
      <c r="M4" s="13"/>
      <c r="N4" s="13"/>
      <c r="O4" s="1"/>
      <c r="P4" s="35"/>
      <c r="Q4" s="13"/>
      <c r="R4" s="13"/>
      <c r="S4" s="13"/>
      <c r="T4" s="5" t="s">
        <v>70</v>
      </c>
      <c r="U4" s="69">
        <f>SUM(U12:U32)</f>
        <v>356001.55379824637</v>
      </c>
    </row>
    <row r="5" spans="2:21" ht="14.1" customHeight="1" x14ac:dyDescent="0.2">
      <c r="B5" s="1"/>
      <c r="C5" s="13"/>
      <c r="D5" s="13"/>
      <c r="E5" s="13"/>
      <c r="F5" s="13"/>
      <c r="G5" s="13"/>
      <c r="H5" s="13"/>
      <c r="I5" s="13"/>
      <c r="J5" s="61"/>
      <c r="K5" s="13"/>
      <c r="L5" s="13"/>
      <c r="M5" s="13"/>
      <c r="N5" s="13"/>
      <c r="O5" s="1"/>
      <c r="P5" s="1"/>
      <c r="Q5" s="13"/>
      <c r="R5" s="13"/>
      <c r="S5" s="13"/>
      <c r="T5" s="5"/>
      <c r="U5" s="6"/>
    </row>
    <row r="6" spans="2:21" ht="14.1" customHeight="1" x14ac:dyDescent="0.2">
      <c r="B6" s="1"/>
      <c r="C6" s="1"/>
      <c r="D6" s="1"/>
      <c r="E6" s="1"/>
      <c r="F6" s="5" t="s">
        <v>71</v>
      </c>
      <c r="G6" s="6">
        <f>SUMPRODUCT($C12:$C32,G12:G32)*(1-'User input'!$L18-'User input'!$L19)</f>
        <v>23592.582222864017</v>
      </c>
      <c r="H6" s="6">
        <f>SUMPRODUCT($C12:$C32,H12:H32)*(1-'User input'!$L18-'User input'!$L19)</f>
        <v>91044.66295114388</v>
      </c>
      <c r="I6" s="1"/>
      <c r="J6" s="1"/>
      <c r="K6" s="1"/>
      <c r="L6" s="21"/>
      <c r="M6" s="1"/>
      <c r="N6" s="5" t="s">
        <v>71</v>
      </c>
      <c r="O6" s="6">
        <f>SUMPRODUCT($C12:$C32,O12:O32)*(1-'User input'!$L18-'User input'!$L19)</f>
        <v>7077.7746668592054</v>
      </c>
      <c r="P6" s="6"/>
      <c r="Q6" s="6">
        <f>SUMPRODUCT($C12:$C32,Q12:Q32)*(1-'User input'!$L18-'User input'!$L19)</f>
        <v>245045.73770745037</v>
      </c>
      <c r="R6" s="1"/>
      <c r="S6" s="21"/>
      <c r="T6" s="1"/>
      <c r="U6" s="32"/>
    </row>
    <row r="7" spans="2:21" ht="14.1" customHeight="1" x14ac:dyDescent="0.2">
      <c r="B7" s="1"/>
      <c r="C7" s="1"/>
      <c r="D7" s="1"/>
      <c r="E7" s="1"/>
      <c r="F7" s="5" t="s">
        <v>72</v>
      </c>
      <c r="G7" s="22">
        <f>G6/($G6+$H6+$O6+$Q6)</f>
        <v>6.4326899040598434E-2</v>
      </c>
      <c r="H7" s="22">
        <f>H6/($G6+$H6+$O6+$Q6)</f>
        <v>0.24823992501201428</v>
      </c>
      <c r="I7" s="1"/>
      <c r="J7" s="21"/>
      <c r="K7" s="1"/>
      <c r="L7" s="21"/>
      <c r="M7" s="1"/>
      <c r="N7" s="5" t="s">
        <v>72</v>
      </c>
      <c r="O7" s="22">
        <f>O6/($G6+$H6+$O6+$Q6)</f>
        <v>1.9298069712179528E-2</v>
      </c>
      <c r="P7" s="22"/>
      <c r="Q7" s="22">
        <f>Q6/($G6+$H6+$O6+$Q6)</f>
        <v>0.66813510623520778</v>
      </c>
      <c r="R7" s="1"/>
      <c r="S7" s="1"/>
      <c r="T7" s="1"/>
      <c r="U7" s="1"/>
    </row>
    <row r="8" spans="2:21" ht="14.1" customHeight="1" x14ac:dyDescent="0.2">
      <c r="B8" s="1"/>
      <c r="C8" s="1"/>
      <c r="D8" s="1"/>
      <c r="E8" s="1"/>
      <c r="F8" s="1"/>
      <c r="G8" s="1"/>
      <c r="H8" s="1"/>
      <c r="I8" s="1"/>
      <c r="J8" s="1"/>
      <c r="K8" s="50" t="s">
        <v>68</v>
      </c>
      <c r="L8" s="1"/>
      <c r="M8" s="1"/>
      <c r="N8" s="1"/>
      <c r="O8" s="1"/>
      <c r="P8" s="1"/>
      <c r="Q8" s="1"/>
      <c r="R8" s="1"/>
      <c r="S8" s="1"/>
      <c r="T8" s="1"/>
      <c r="U8" s="1"/>
    </row>
    <row r="9" spans="2:21" ht="14.1" customHeight="1" x14ac:dyDescent="0.2">
      <c r="B9" s="1"/>
      <c r="C9" s="32" t="s">
        <v>9</v>
      </c>
      <c r="D9" s="32" t="s">
        <v>68</v>
      </c>
      <c r="E9" s="32" t="s">
        <v>68</v>
      </c>
      <c r="F9" s="32" t="s">
        <v>74</v>
      </c>
      <c r="G9" s="1"/>
      <c r="H9" s="1"/>
      <c r="I9" s="32" t="s">
        <v>35</v>
      </c>
      <c r="J9" s="32" t="s">
        <v>76</v>
      </c>
      <c r="K9" s="32" t="s">
        <v>99</v>
      </c>
      <c r="L9" s="1"/>
      <c r="M9" s="1"/>
      <c r="N9" s="32"/>
      <c r="O9" s="32"/>
      <c r="P9" s="32"/>
      <c r="Q9" s="32"/>
      <c r="R9" s="21">
        <f>SUM(R12:R27)/'User input'!F24</f>
        <v>1.2517122593718337</v>
      </c>
      <c r="S9" s="1"/>
      <c r="T9" s="1"/>
      <c r="U9" s="1"/>
    </row>
    <row r="10" spans="2:21" ht="14.1" customHeight="1" x14ac:dyDescent="0.2">
      <c r="B10" s="1"/>
      <c r="C10" s="32" t="s">
        <v>10</v>
      </c>
      <c r="D10" s="32" t="s">
        <v>12</v>
      </c>
      <c r="E10" s="32" t="s">
        <v>12</v>
      </c>
      <c r="F10" s="32" t="s">
        <v>12</v>
      </c>
      <c r="G10" s="32" t="s">
        <v>73</v>
      </c>
      <c r="H10" s="32" t="s">
        <v>34</v>
      </c>
      <c r="I10" s="32" t="s">
        <v>75</v>
      </c>
      <c r="J10" s="32" t="s">
        <v>37</v>
      </c>
      <c r="K10" s="32" t="s">
        <v>100</v>
      </c>
      <c r="L10" s="32" t="s">
        <v>38</v>
      </c>
      <c r="M10" s="32" t="s">
        <v>38</v>
      </c>
      <c r="N10" s="32" t="s">
        <v>80</v>
      </c>
      <c r="O10" s="32"/>
      <c r="P10" s="32" t="s">
        <v>77</v>
      </c>
      <c r="Q10" s="32" t="s">
        <v>58</v>
      </c>
      <c r="R10" s="32" t="s">
        <v>56</v>
      </c>
      <c r="S10" s="32" t="s">
        <v>35</v>
      </c>
      <c r="T10" s="32" t="s">
        <v>63</v>
      </c>
      <c r="U10" s="32" t="s">
        <v>65</v>
      </c>
    </row>
    <row r="11" spans="2:21" ht="14.1" customHeight="1" x14ac:dyDescent="0.2">
      <c r="B11" s="33" t="s">
        <v>8</v>
      </c>
      <c r="C11" s="33" t="s">
        <v>11</v>
      </c>
      <c r="D11" s="33" t="s">
        <v>13</v>
      </c>
      <c r="E11" s="33" t="s">
        <v>14</v>
      </c>
      <c r="F11" s="33" t="s">
        <v>15</v>
      </c>
      <c r="G11" s="33" t="s">
        <v>16</v>
      </c>
      <c r="H11" s="33" t="s">
        <v>75</v>
      </c>
      <c r="I11" s="33" t="s">
        <v>36</v>
      </c>
      <c r="J11" s="33" t="s">
        <v>75</v>
      </c>
      <c r="K11" s="33" t="s">
        <v>101</v>
      </c>
      <c r="L11" s="33" t="s">
        <v>16</v>
      </c>
      <c r="M11" s="33" t="s">
        <v>39</v>
      </c>
      <c r="N11" s="33" t="s">
        <v>81</v>
      </c>
      <c r="O11" s="33" t="s">
        <v>79</v>
      </c>
      <c r="P11" s="33" t="s">
        <v>56</v>
      </c>
      <c r="Q11" s="33" t="s">
        <v>56</v>
      </c>
      <c r="R11" s="33" t="s">
        <v>61</v>
      </c>
      <c r="S11" s="33" t="s">
        <v>62</v>
      </c>
      <c r="T11" s="33" t="s">
        <v>64</v>
      </c>
      <c r="U11" s="33" t="s">
        <v>64</v>
      </c>
    </row>
    <row r="12" spans="2:21" ht="14.1" customHeight="1" x14ac:dyDescent="0.2">
      <c r="B12" s="32">
        <v>0</v>
      </c>
      <c r="C12" s="23">
        <f>IF(B12&gt;'User input'!F$24,"",'User input'!L$35^B12)</f>
        <v>1</v>
      </c>
      <c r="D12" s="32">
        <f>IF(B12&gt;'User input'!F$24,"",IF(B12=0,'User input'!F$17,D11+1))</f>
        <v>0</v>
      </c>
      <c r="E12" s="34">
        <f>IF(B12&gt;'User input'!F$24,"",IF(B12=0,'User input'!F$18,E11+'User input'!F$31))</f>
        <v>0</v>
      </c>
      <c r="F12" s="35">
        <f>IF(B12&gt;'User input'!F$24,"",EXP('User input'!G$14*(D12-'User input'!F$17)+'User input'!H$14*((E12-'User input'!F$18)/100)+'User input'!I$14*(D12-'User input'!F$17)*(E12-'User input'!F$18)/100)*'User input'!F$20*IF(B12=0,1,(1-'User input'!F$76)))</f>
        <v>200000</v>
      </c>
      <c r="G12" s="48">
        <f>IF(B12&gt;'User input'!F$24,"",IF(B12&gt;0,F11*'User input'!L$16,0))</f>
        <v>0</v>
      </c>
      <c r="H12" s="36">
        <f>IF(B12&gt;'User input'!F$24,"",IF(B12&gt;0,F11-F12,0))</f>
        <v>0</v>
      </c>
      <c r="I12" s="22">
        <f>IF(B12&gt;'User input'!F$24,"",IF(B12&gt;7,0,IF(SUM(I$11:I11)&lt;1,IF(B12='User input'!F$24,'User input'!L25/2,'User input'!L25),0)))</f>
        <v>0.1429</v>
      </c>
      <c r="J12" s="48">
        <f>IF(B12&gt;'User input'!F$24,"",IF(B12=0,MIN('User input'!F$19,'User input'!L$20)+'User input'!L$22+'User input'!L$23*I12,'User input'!L$23*I12))</f>
        <v>114290</v>
      </c>
      <c r="K12" s="51">
        <f>IF(B12&gt;'User input'!F$24,"",IF(B12=0,'User input'!F$19-J12,K11-J12))</f>
        <v>85710</v>
      </c>
      <c r="L12" s="36">
        <f>IF(B12&gt;'User input'!F$24,"",IF(B12&gt;0,('User input'!F$19-'User input'!F$21)*'User input'!L$16,0))</f>
        <v>0</v>
      </c>
      <c r="M12" s="35">
        <f>IF(B12&gt;'User input'!F$24,"",IF(B12='User input'!F$24,'User input'!F$19-'User input'!F$21,0))</f>
        <v>0</v>
      </c>
      <c r="N12" s="35">
        <f>IF(B12&gt;'User input'!F$24,"",IF(B12=0,'User input'!F$21,IF(B12='User input'!F$24,-F12,0)))</f>
        <v>40000</v>
      </c>
      <c r="O12" s="35">
        <f>IF(B12&gt;'User input'!F$24,"",IF(B12&gt;0,'User input'!F$47*F11,0))</f>
        <v>0</v>
      </c>
      <c r="P12" s="63">
        <f>IF(B12&gt;'User input'!F$24,"",(IF(E12&gt;'User input'!L$14,(E12-'User input'!L$14)*'User input'!F$45+'User input'!J$14*'User input'!F$22*'User input'!F$77*('User input'!L$14/1000)^'User input'!K$14,'User input'!J$14*'User input'!F$22*'User input'!F$77*(E12/1000)^'User input'!K$14))*'User input'!F$44)</f>
        <v>0</v>
      </c>
      <c r="Q12" s="48">
        <f>IF(B12&gt;'User input'!F$24,"",IF(B12&gt;0,(P12-P11),0))</f>
        <v>0</v>
      </c>
      <c r="R12" s="64">
        <f>IF(B12&gt;'User input'!F$24,"",Q12/'User input'!F$30)</f>
        <v>0</v>
      </c>
      <c r="S12" s="48">
        <f>IF(B12&gt;'User input'!F$24,"",(J12+L12+O12+Q12)*('User input'!L$18+'User input'!L$19)-IF(B12='User input'!F$24,(F12-K12)*'User input'!L$18,0))</f>
        <v>40344.369999999995</v>
      </c>
      <c r="T12" s="48">
        <f>IF(B12&gt;'User input'!F$24,"",L12+M12+N12+O12+Q12-S12)</f>
        <v>-344.36999999999534</v>
      </c>
      <c r="U12" s="35">
        <f>IF(B12&gt;'User input'!F$24,"",C12*T12)</f>
        <v>-344.36999999999534</v>
      </c>
    </row>
    <row r="13" spans="2:21" ht="14.1" customHeight="1" x14ac:dyDescent="0.2">
      <c r="B13" s="32">
        <f>IF(B12&gt;='User input'!F$24," ",B12+1)</f>
        <v>1</v>
      </c>
      <c r="C13" s="23">
        <f>IF(B13&gt;'User input'!F$24,"",'User input'!L$35^B13)</f>
        <v>0.96866372838669046</v>
      </c>
      <c r="D13" s="32">
        <f>IF(B13&gt;'User input'!F$24,"",IF(B13=0,'User input'!F$17,D12+1))</f>
        <v>1</v>
      </c>
      <c r="E13" s="34">
        <f>IF(B13&gt;'User input'!F$24,"",IF(B13=0,'User input'!F$18,E12+'User input'!F$31))</f>
        <v>1083.5303388494879</v>
      </c>
      <c r="F13" s="35">
        <f>IF(B13&gt;'User input'!F$24,"",EXP('User input'!G$14*(D13-'User input'!F$17)+'User input'!H$14*((E13-'User input'!F$18)/100)+'User input'!I$14*(D13-'User input'!F$17)*(E13-'User input'!F$18)/100)*'User input'!F$20*IF(B13=0,1,(1-'User input'!F$76)))</f>
        <v>161409.62354561139</v>
      </c>
      <c r="G13" s="48">
        <f>IF(B13&gt;'User input'!F$24,"",IF(B13&gt;0,F12*'User input'!L$16,0))</f>
        <v>10000</v>
      </c>
      <c r="H13" s="36">
        <f>IF(B13&gt;'User input'!F$24,"",IF(B13&gt;0,F12-F13,0))</f>
        <v>38590.376454388606</v>
      </c>
      <c r="I13" s="22">
        <f>IF(B13&gt;'User input'!F$24,"",IF(B13&gt;7,0,IF(SUM(I$11:I12)&lt;1,IF(B13='User input'!F$24,'User input'!L26/2,'User input'!L26),0)))</f>
        <v>0.24490000000000001</v>
      </c>
      <c r="J13" s="48">
        <f>IF(B13&gt;'User input'!F$24,"",IF(B13=0,MIN('User input'!F$19,'User input'!L$20)+'User input'!L$22+'User input'!L$23*I13,'User input'!L$23*I13))</f>
        <v>24490</v>
      </c>
      <c r="K13" s="51">
        <f>IF(B13&gt;'User input'!F$24,"",IF(B13=0,'User input'!F$19-J13,K12-J13))</f>
        <v>61220</v>
      </c>
      <c r="L13" s="36">
        <f>IF(B13&gt;'User input'!F$24,"",IF(B13&gt;0,('User input'!F$19-'User input'!F$21)*'User input'!L$16,0))</f>
        <v>8000</v>
      </c>
      <c r="M13" s="35">
        <f>IF(B13&gt;'User input'!F$24,"",IF(B13='User input'!F$24,'User input'!F$19-'User input'!F$21,0))</f>
        <v>0</v>
      </c>
      <c r="N13" s="35">
        <f>IF(B13&gt;'User input'!F$24,"",IF(B13=0,'User input'!F$21,IF(B13='User input'!F$24,-F13,0)))</f>
        <v>0</v>
      </c>
      <c r="O13" s="35">
        <f>IF(B13&gt;'User input'!F$24,"",IF(B13&gt;0,'User input'!F$47*F12,0))</f>
        <v>3000</v>
      </c>
      <c r="P13" s="63">
        <f>IF(B13&gt;'User input'!F$24,"",(IF(E13&gt;'User input'!L$14,(E13-'User input'!L$14)*'User input'!F$45+'User input'!J$14*'User input'!F$22*'User input'!F$77*('User input'!L$14/1000)^'User input'!K$14,'User input'!J$14*'User input'!F$22*'User input'!F$77*(E13/1000)^'User input'!K$14))*'User input'!F$44)</f>
        <v>14088.455942487433</v>
      </c>
      <c r="Q13" s="48">
        <f>IF(B13&gt;'User input'!F$24,"",IF(B13&gt;0,(P13-P12),0))</f>
        <v>14088.455942487433</v>
      </c>
      <c r="R13" s="64">
        <f>IF(B13&gt;'User input'!F$24,"",Q13/'User input'!F$30)</f>
        <v>0.28176911884974865</v>
      </c>
      <c r="S13" s="48">
        <f>IF(B13&gt;'User input'!F$24,"",(J13+L13+O13+Q13)*('User input'!L$18+'User input'!L$19)-IF(B13='User input'!F$24,(F13-K13)*'User input'!L$18,0))</f>
        <v>17501.194947698063</v>
      </c>
      <c r="T13" s="48">
        <f>IF(B13&gt;'User input'!F$24,"",L13+M13+N13+O13+Q13-S13)</f>
        <v>7587.2609947893689</v>
      </c>
      <c r="U13" s="35">
        <f>IF(B13&gt;'User input'!F$24,"",C13*T13)</f>
        <v>7349.5045234555801</v>
      </c>
    </row>
    <row r="14" spans="2:21" ht="14.1" customHeight="1" x14ac:dyDescent="0.2">
      <c r="B14" s="32">
        <f>IF(B13&gt;='User input'!F$24," ",B13+1)</f>
        <v>2</v>
      </c>
      <c r="C14" s="23">
        <f>IF(B14&gt;'User input'!F$24,"",'User input'!L$35^B14)</f>
        <v>0.93830941869200402</v>
      </c>
      <c r="D14" s="32">
        <f>IF(B14&gt;'User input'!F$24,"",IF(B14=0,'User input'!F$17,D13+1))</f>
        <v>2</v>
      </c>
      <c r="E14" s="34">
        <f>IF(B14&gt;'User input'!F$24,"",IF(B14=0,'User input'!F$18,E13+'User input'!F$31))</f>
        <v>2167.0606776989757</v>
      </c>
      <c r="F14" s="35">
        <f>IF(B14&gt;'User input'!F$24,"",EXP('User input'!G$14*(D14-'User input'!F$17)+'User input'!H$14*((E14-'User input'!F$18)/100)+'User input'!I$14*(D14-'User input'!F$17)*(E14-'User input'!F$18)/100)*'User input'!F$20*IF(B14=0,1,(1-'User input'!F$76)))</f>
        <v>130265.33286567994</v>
      </c>
      <c r="G14" s="48">
        <f>IF(B14&gt;'User input'!F$24,"",IF(B14&gt;0,F13*'User input'!L$16,0))</f>
        <v>8070.4811772805697</v>
      </c>
      <c r="H14" s="36">
        <f>IF(B14&gt;'User input'!F$24,"",IF(B14&gt;0,F13-F14,0))</f>
        <v>31144.290679931451</v>
      </c>
      <c r="I14" s="22">
        <f>IF(B14&gt;'User input'!F$24,"",IF(B14&gt;7,0,IF(SUM(I$11:I13)&lt;1,IF(B14='User input'!F$24,'User input'!L27/2,'User input'!L27),0)))</f>
        <v>0.1749</v>
      </c>
      <c r="J14" s="48">
        <f>IF(B14&gt;'User input'!F$24,"",IF(B14=0,MIN('User input'!F$19,'User input'!L$20)+'User input'!L$22+'User input'!L$23*I14,'User input'!L$23*I14))</f>
        <v>17490</v>
      </c>
      <c r="K14" s="51">
        <f>IF(B14&gt;'User input'!F$24,"",IF(B14=0,'User input'!F$19-J14,K13-J14))</f>
        <v>43730</v>
      </c>
      <c r="L14" s="36">
        <f>IF(B14&gt;'User input'!F$24,"",IF(B14&gt;0,('User input'!F$19-'User input'!F$21)*'User input'!L$16,0))</f>
        <v>8000</v>
      </c>
      <c r="M14" s="35">
        <f>IF(B14&gt;'User input'!F$24,"",IF(B14='User input'!F$24,'User input'!F$19-'User input'!F$21,0))</f>
        <v>0</v>
      </c>
      <c r="N14" s="35">
        <f>IF(B14&gt;'User input'!F$24,"",IF(B14=0,'User input'!F$21,IF(B14='User input'!F$24,-F14,0)))</f>
        <v>0</v>
      </c>
      <c r="O14" s="35">
        <f>IF(B14&gt;'User input'!F$24,"",IF(B14&gt;0,'User input'!F$47*F13,0))</f>
        <v>2421.144353184171</v>
      </c>
      <c r="P14" s="63">
        <f>IF(B14&gt;'User input'!F$24,"",(IF(E14&gt;'User input'!L$14,(E14-'User input'!L$14)*'User input'!F$45+'User input'!J$14*'User input'!F$22*'User input'!F$77*('User input'!L$14/1000)^'User input'!K$14,'User input'!J$14*'User input'!F$22*'User input'!F$77*(E14/1000)^'User input'!K$14))*'User input'!F$44)</f>
        <v>56353.823769949733</v>
      </c>
      <c r="Q14" s="48">
        <f>IF(B14&gt;'User input'!F$24,"",IF(B14&gt;0,(P14-P13),0))</f>
        <v>42265.367827462302</v>
      </c>
      <c r="R14" s="64">
        <f>IF(B14&gt;'User input'!F$24,"",Q14/'User input'!F$30)</f>
        <v>0.84530735654924605</v>
      </c>
      <c r="S14" s="48">
        <f>IF(B14&gt;'User input'!F$24,"",(J14+L14+O14+Q14)*('User input'!L$18+'User input'!L$19)-IF(B14='User input'!F$24,(F14-K14)*'User input'!L$18,0))</f>
        <v>24772.308799768205</v>
      </c>
      <c r="T14" s="48">
        <f>IF(B14&gt;'User input'!F$24,"",L14+M14+N14+O14+Q14-S14)</f>
        <v>27914.203380878269</v>
      </c>
      <c r="U14" s="35">
        <f>IF(B14&gt;'User input'!F$24,"",C14*T14)</f>
        <v>26192.159947562261</v>
      </c>
    </row>
    <row r="15" spans="2:21" ht="14.1" customHeight="1" x14ac:dyDescent="0.2">
      <c r="B15" s="32">
        <f>IF(B14&gt;='User input'!F$24," ",B14+1)</f>
        <v>3</v>
      </c>
      <c r="C15" s="23">
        <f>IF(B15&gt;'User input'!F$24,"",'User input'!L$35^B15)</f>
        <v>0.90890629989054483</v>
      </c>
      <c r="D15" s="32">
        <f>IF(B15&gt;'User input'!F$24,"",IF(B15=0,'User input'!F$17,D14+1))</f>
        <v>3</v>
      </c>
      <c r="E15" s="34">
        <f>IF(B15&gt;'User input'!F$24,"",IF(B15=0,'User input'!F$18,E14+'User input'!F$31))</f>
        <v>3250.5910165484638</v>
      </c>
      <c r="F15" s="35">
        <f>IF(B15&gt;'User input'!F$24,"",EXP('User input'!G$14*(D15-'User input'!F$17)+'User input'!H$14*((E15-'User input'!F$18)/100)+'User input'!I$14*(D15-'User input'!F$17)*(E15-'User input'!F$18)/100)*'User input'!F$20*IF(B15=0,1,(1-'User input'!F$76)))</f>
        <v>105130.39169446578</v>
      </c>
      <c r="G15" s="48">
        <f>IF(B15&gt;'User input'!F$24,"",IF(B15&gt;0,F14*'User input'!L$16,0))</f>
        <v>6513.2666432839978</v>
      </c>
      <c r="H15" s="36">
        <f>IF(B15&gt;'User input'!F$24,"",IF(B15&gt;0,F14-F15,0))</f>
        <v>25134.941171214159</v>
      </c>
      <c r="I15" s="22">
        <f>IF(B15&gt;'User input'!F$24,"",IF(B15&gt;7,0,IF(SUM(I$11:I14)&lt;1,IF(B15='User input'!F$24,'User input'!L28/2,'User input'!L28),0)))</f>
        <v>0.1249</v>
      </c>
      <c r="J15" s="48">
        <f>IF(B15&gt;'User input'!F$24,"",IF(B15=0,MIN('User input'!F$19,'User input'!L$20)+'User input'!L$22+'User input'!L$23*I15,'User input'!L$23*I15))</f>
        <v>12490</v>
      </c>
      <c r="K15" s="51">
        <f>IF(B15&gt;'User input'!F$24,"",IF(B15=0,'User input'!F$19-J15,K14-J15))</f>
        <v>31240</v>
      </c>
      <c r="L15" s="36">
        <f>IF(B15&gt;'User input'!F$24,"",IF(B15&gt;0,('User input'!F$19-'User input'!F$21)*'User input'!L$16,0))</f>
        <v>8000</v>
      </c>
      <c r="M15" s="35">
        <f>IF(B15&gt;'User input'!F$24,"",IF(B15='User input'!F$24,'User input'!F$19-'User input'!F$21,0))</f>
        <v>0</v>
      </c>
      <c r="N15" s="35">
        <f>IF(B15&gt;'User input'!F$24,"",IF(B15=0,'User input'!F$21,IF(B15='User input'!F$24,-F15,0)))</f>
        <v>0</v>
      </c>
      <c r="O15" s="35">
        <f>IF(B15&gt;'User input'!F$24,"",IF(B15&gt;0,'User input'!F$47*F14,0))</f>
        <v>1953.979992985199</v>
      </c>
      <c r="P15" s="63">
        <f>IF(B15&gt;'User input'!F$24,"",(IF(E15&gt;'User input'!L$14,(E15-'User input'!L$14)*'User input'!F$45+'User input'!J$14*'User input'!F$22*'User input'!F$77*('User input'!L$14/1000)^'User input'!K$14,'User input'!J$14*'User input'!F$22*'User input'!F$77*(E15/1000)^'User input'!K$14))*'User input'!F$44)</f>
        <v>126042.55319148939</v>
      </c>
      <c r="Q15" s="48">
        <f>IF(B15&gt;'User input'!F$24,"",IF(B15&gt;0,(P15-P14),0))</f>
        <v>69688.729421539669</v>
      </c>
      <c r="R15" s="64">
        <f>IF(B15&gt;'User input'!F$24,"",Q15/'User input'!F$30)</f>
        <v>1.3937745884307933</v>
      </c>
      <c r="S15" s="48">
        <f>IF(B15&gt;'User input'!F$24,"",(J15+L15+O15+Q15)*('User input'!L$18+'User input'!L$19)-IF(B15='User input'!F$24,(F15-K15)*'User input'!L$18,0))</f>
        <v>32522.846423327279</v>
      </c>
      <c r="T15" s="48">
        <f>IF(B15&gt;'User input'!F$24,"",L15+M15+N15+O15+Q15-S15)</f>
        <v>47119.862991197588</v>
      </c>
      <c r="U15" s="35">
        <f>IF(B15&gt;'User input'!F$24,"",C15*T15)</f>
        <v>42827.540322678818</v>
      </c>
    </row>
    <row r="16" spans="2:21" ht="14.1" customHeight="1" x14ac:dyDescent="0.2">
      <c r="B16" s="32">
        <f>IF(B15&gt;='User input'!F$24," ",B15+1)</f>
        <v>4</v>
      </c>
      <c r="C16" s="23">
        <f>IF(B16&gt;'User input'!F$24,"",'User input'!L$35^B16)</f>
        <v>0.88042456520612644</v>
      </c>
      <c r="D16" s="32">
        <f>IF(B16&gt;'User input'!F$24,"",IF(B16=0,'User input'!F$17,D15+1))</f>
        <v>4</v>
      </c>
      <c r="E16" s="34">
        <f>IF(B16&gt;'User input'!F$24,"",IF(B16=0,'User input'!F$18,E15+'User input'!F$31))</f>
        <v>4334.1213553979514</v>
      </c>
      <c r="F16" s="35">
        <f>IF(B16&gt;'User input'!F$24,"",EXP('User input'!G$14*(D16-'User input'!F$17)+'User input'!H$14*((E16-'User input'!F$18)/100)+'User input'!I$14*(D16-'User input'!F$17)*(E16-'User input'!F$18)/100)*'User input'!F$20*IF(B16=0,1,(1-'User input'!F$76)))</f>
        <v>84845.284733031978</v>
      </c>
      <c r="G16" s="48">
        <f>IF(B16&gt;'User input'!F$24,"",IF(B16&gt;0,F15*'User input'!L$16,0))</f>
        <v>5256.5195847232899</v>
      </c>
      <c r="H16" s="36">
        <f>IF(B16&gt;'User input'!F$24,"",IF(B16&gt;0,F15-F16,0))</f>
        <v>20285.106961433805</v>
      </c>
      <c r="I16" s="22">
        <f>IF(B16&gt;'User input'!F$24,"",IF(B16&gt;7,0,IF(SUM(I$11:I15)&lt;1,IF(B16='User input'!F$24,'User input'!L29/2,'User input'!L29),0)))</f>
        <v>8.9300000000000004E-2</v>
      </c>
      <c r="J16" s="48">
        <f>IF(B16&gt;'User input'!F$24,"",IF(B16=0,MIN('User input'!F$19,'User input'!L$20)+'User input'!L$22+'User input'!L$23*I16,'User input'!L$23*I16))</f>
        <v>8930</v>
      </c>
      <c r="K16" s="51">
        <f>IF(B16&gt;'User input'!F$24,"",IF(B16=0,'User input'!F$19-J16,K15-J16))</f>
        <v>22310</v>
      </c>
      <c r="L16" s="36">
        <f>IF(B16&gt;'User input'!F$24,"",IF(B16&gt;0,('User input'!F$19-'User input'!F$21)*'User input'!L$16,0))</f>
        <v>8000</v>
      </c>
      <c r="M16" s="35">
        <f>IF(B16&gt;'User input'!F$24,"",IF(B16='User input'!F$24,'User input'!F$19-'User input'!F$21,0))</f>
        <v>0</v>
      </c>
      <c r="N16" s="35">
        <f>IF(B16&gt;'User input'!F$24,"",IF(B16=0,'User input'!F$21,IF(B16='User input'!F$24,-F16,0)))</f>
        <v>0</v>
      </c>
      <c r="O16" s="35">
        <f>IF(B16&gt;'User input'!F$24,"",IF(B16&gt;0,'User input'!F$47*F15,0))</f>
        <v>1576.9558754169866</v>
      </c>
      <c r="P16" s="63">
        <f>IF(B16&gt;'User input'!F$24,"",(IF(E16&gt;'User input'!L$14,(E16-'User input'!L$14)*'User input'!F$45+'User input'!J$14*'User input'!F$22*'User input'!F$77*('User input'!L$14/1000)^'User input'!K$14,'User input'!J$14*'User input'!F$22*'User input'!F$77*(E16/1000)^'User input'!K$14))*'User input'!F$44)</f>
        <v>204056.7375886525</v>
      </c>
      <c r="Q16" s="48">
        <f>IF(B16&gt;'User input'!F$24,"",IF(B16&gt;0,(P16-P15),0))</f>
        <v>78014.184397163102</v>
      </c>
      <c r="R16" s="64">
        <f>IF(B16&gt;'User input'!F$24,"",Q16/'User input'!F$30)</f>
        <v>1.560283687943262</v>
      </c>
      <c r="S16" s="48">
        <f>IF(B16&gt;'User input'!F$24,"",(J16+L16+O16+Q16)*('User input'!L$18+'User input'!L$19)-IF(B16='User input'!F$24,(F16-K16)*'User input'!L$18,0))</f>
        <v>34071.962516220767</v>
      </c>
      <c r="T16" s="48">
        <f>IF(B16&gt;'User input'!F$24,"",L16+M16+N16+O16+Q16-S16)</f>
        <v>53519.17775635932</v>
      </c>
      <c r="U16" s="35">
        <f>IF(B16&gt;'User input'!F$24,"",C16*T16)</f>
        <v>47119.598806332047</v>
      </c>
    </row>
    <row r="17" spans="2:21" ht="14.1" customHeight="1" x14ac:dyDescent="0.2">
      <c r="B17" s="32">
        <f>IF(B16&gt;='User input'!F$24," ",B16+1)</f>
        <v>5</v>
      </c>
      <c r="C17" s="23">
        <f>IF(B17&gt;'User input'!F$24,"",'User input'!L$35^B17)</f>
        <v>0.85283534189579735</v>
      </c>
      <c r="D17" s="32">
        <f>IF(B17&gt;'User input'!F$24,"",IF(B17=0,'User input'!F$17,D16+1))</f>
        <v>5</v>
      </c>
      <c r="E17" s="34">
        <f>IF(B17&gt;'User input'!F$24,"",IF(B17=0,'User input'!F$18,E16+'User input'!F$31))</f>
        <v>5417.6516942474391</v>
      </c>
      <c r="F17" s="35">
        <f>IF(B17&gt;'User input'!F$24,"",EXP('User input'!G$14*(D17-'User input'!F$17)+'User input'!H$14*((E17-'User input'!F$18)/100)+'User input'!I$14*(D17-'User input'!F$17)*(E17-'User input'!F$18)/100)*'User input'!F$20*IF(B17=0,1,(1-'User input'!F$76)))</f>
        <v>68474.227341894497</v>
      </c>
      <c r="G17" s="48">
        <f>IF(B17&gt;'User input'!F$24,"",IF(B17&gt;0,F16*'User input'!L$16,0))</f>
        <v>4242.2642366515993</v>
      </c>
      <c r="H17" s="36">
        <f>IF(B17&gt;'User input'!F$24,"",IF(B17&gt;0,F16-F17,0))</f>
        <v>16371.057391137481</v>
      </c>
      <c r="I17" s="22">
        <f>IF(B17&gt;'User input'!F$24,"",IF(B17&gt;7,0,IF(SUM(I$11:I16)&lt;1,IF(B17='User input'!F$24,'User input'!L30/2,'User input'!L30),0)))</f>
        <v>8.9200000000000002E-2</v>
      </c>
      <c r="J17" s="48">
        <f>IF(B17&gt;'User input'!F$24,"",IF(B17=0,MIN('User input'!F$19,'User input'!L$20)+'User input'!L$22+'User input'!L$23*I17,'User input'!L$23*I17))</f>
        <v>8920</v>
      </c>
      <c r="K17" s="51">
        <f>IF(B17&gt;'User input'!F$24,"",IF(B17=0,'User input'!F$19-J17,K16-J17))</f>
        <v>13390</v>
      </c>
      <c r="L17" s="36">
        <f>IF(B17&gt;'User input'!F$24,"",IF(B17&gt;0,('User input'!F$19-'User input'!F$21)*'User input'!L$16,0))</f>
        <v>8000</v>
      </c>
      <c r="M17" s="35">
        <f>IF(B17&gt;'User input'!F$24,"",IF(B17='User input'!F$24,'User input'!F$19-'User input'!F$21,0))</f>
        <v>0</v>
      </c>
      <c r="N17" s="35">
        <f>IF(B17&gt;'User input'!F$24,"",IF(B17=0,'User input'!F$21,IF(B17='User input'!F$24,-F17,0)))</f>
        <v>0</v>
      </c>
      <c r="O17" s="35">
        <f>IF(B17&gt;'User input'!F$24,"",IF(B17&gt;0,'User input'!F$47*F16,0))</f>
        <v>1272.6792709954796</v>
      </c>
      <c r="P17" s="63">
        <f>IF(B17&gt;'User input'!F$24,"",(IF(E17&gt;'User input'!L$14,(E17-'User input'!L$14)*'User input'!F$45+'User input'!J$14*'User input'!F$22*'User input'!F$77*('User input'!L$14/1000)^'User input'!K$14,'User input'!J$14*'User input'!F$22*'User input'!F$77*(E17/1000)^'User input'!K$14))*'User input'!F$44)</f>
        <v>282070.92198581563</v>
      </c>
      <c r="Q17" s="48">
        <f>IF(B17&gt;'User input'!F$24,"",IF(B17&gt;0,(P17-P16),0))</f>
        <v>78014.184397163132</v>
      </c>
      <c r="R17" s="64">
        <f>IF(B17&gt;'User input'!F$24,"",Q17/'User input'!F$30)</f>
        <v>1.5602836879432627</v>
      </c>
      <c r="S17" s="48">
        <f>IF(B17&gt;'User input'!F$24,"",(J17+L17+O17+Q17)*('User input'!L$18+'User input'!L$19)-IF(B17='User input'!F$24,(F17-K17)*'User input'!L$18,0))</f>
        <v>33961.022874859984</v>
      </c>
      <c r="T17" s="48">
        <f>IF(B17&gt;'User input'!F$24,"",L17+M17+N17+O17+Q17-S17)</f>
        <v>53325.840793298623</v>
      </c>
      <c r="U17" s="35">
        <f>IF(B17&gt;'User input'!F$24,"",C17*T17)</f>
        <v>45478.161664833686</v>
      </c>
    </row>
    <row r="18" spans="2:21" ht="14.1" customHeight="1" x14ac:dyDescent="0.2">
      <c r="B18" s="32">
        <f>IF(B17&gt;='User input'!F$24," ",B17+1)</f>
        <v>6</v>
      </c>
      <c r="C18" s="23">
        <f>IF(B18&gt;'User input'!F$24,"",'User input'!L$35^B18)</f>
        <v>0.82611066198072092</v>
      </c>
      <c r="D18" s="32">
        <f>IF(B18&gt;'User input'!F$24,"",IF(B18=0,'User input'!F$17,D17+1))</f>
        <v>6</v>
      </c>
      <c r="E18" s="34">
        <f>IF(B18&gt;'User input'!F$24,"",IF(B18=0,'User input'!F$18,E17+'User input'!F$31))</f>
        <v>6501.1820330969267</v>
      </c>
      <c r="F18" s="35">
        <f>IF(B18&gt;'User input'!F$24,"",EXP('User input'!G$14*(D18-'User input'!F$17)+'User input'!H$14*((E18-'User input'!F$18)/100)+'User input'!I$14*(D18-'User input'!F$17)*(E18-'User input'!F$18)/100)*'User input'!F$20*IF(B18=0,1,(1-'User input'!F$76)))</f>
        <v>55261.996289159011</v>
      </c>
      <c r="G18" s="48">
        <f>IF(B18&gt;'User input'!F$24,"",IF(B18&gt;0,F17*'User input'!L$16,0))</f>
        <v>3423.7113670947251</v>
      </c>
      <c r="H18" s="36">
        <f>IF(B18&gt;'User input'!F$24,"",IF(B18&gt;0,F17-F18,0))</f>
        <v>13212.231052735486</v>
      </c>
      <c r="I18" s="22">
        <f>IF(B18&gt;'User input'!F$24,"",IF(B18&gt;7,0,IF(SUM(I$11:I17)&lt;1,IF(B18='User input'!F$24,'User input'!L31/2,'User input'!L31),0)))</f>
        <v>8.9300000000000004E-2</v>
      </c>
      <c r="J18" s="48">
        <f>IF(B18&gt;'User input'!F$24,"",IF(B18=0,MIN('User input'!F$19,'User input'!L$20)+'User input'!L$22+'User input'!L$23*I18,'User input'!L$23*I18))</f>
        <v>8930</v>
      </c>
      <c r="K18" s="51">
        <f>IF(B18&gt;'User input'!F$24,"",IF(B18=0,'User input'!F$19-J18,K17-J18))</f>
        <v>4460</v>
      </c>
      <c r="L18" s="36">
        <f>IF(B18&gt;'User input'!F$24,"",IF(B18&gt;0,('User input'!F$19-'User input'!F$21)*'User input'!L$16,0))</f>
        <v>8000</v>
      </c>
      <c r="M18" s="35">
        <f>IF(B18&gt;'User input'!F$24,"",IF(B18='User input'!F$24,'User input'!F$19-'User input'!F$21,0))</f>
        <v>0</v>
      </c>
      <c r="N18" s="35">
        <f>IF(B18&gt;'User input'!F$24,"",IF(B18=0,'User input'!F$21,IF(B18='User input'!F$24,-F18,0)))</f>
        <v>0</v>
      </c>
      <c r="O18" s="35">
        <f>IF(B18&gt;'User input'!F$24,"",IF(B18&gt;0,'User input'!F$47*F17,0))</f>
        <v>1027.1134101284174</v>
      </c>
      <c r="P18" s="63">
        <f>IF(B18&gt;'User input'!F$24,"",(IF(E18&gt;'User input'!L$14,(E18-'User input'!L$14)*'User input'!F$45+'User input'!J$14*'User input'!F$22*'User input'!F$77*('User input'!L$14/1000)^'User input'!K$14,'User input'!J$14*'User input'!F$22*'User input'!F$77*(E18/1000)^'User input'!K$14))*'User input'!F$44)</f>
        <v>360085.10638297873</v>
      </c>
      <c r="Q18" s="48">
        <f>IF(B18&gt;'User input'!F$24,"",IF(B18&gt;0,(P18-P17),0))</f>
        <v>78014.184397163102</v>
      </c>
      <c r="R18" s="64">
        <f>IF(B18&gt;'User input'!F$24,"",Q18/'User input'!F$30)</f>
        <v>1.560283687943262</v>
      </c>
      <c r="S18" s="48">
        <f>IF(B18&gt;'User input'!F$24,"",(J18+L18+O18+Q18)*('User input'!L$18+'User input'!L$19)-IF(B18='User input'!F$24,(F18-K18)*'User input'!L$18,0))</f>
        <v>33877.86812597391</v>
      </c>
      <c r="T18" s="48">
        <f>IF(B18&gt;'User input'!F$24,"",L18+M18+N18+O18+Q18-S18)</f>
        <v>53163.429681317604</v>
      </c>
      <c r="U18" s="35">
        <f>IF(B18&gt;'User input'!F$24,"",C18*T18)</f>
        <v>43918.876087198791</v>
      </c>
    </row>
    <row r="19" spans="2:21" ht="14.1" customHeight="1" x14ac:dyDescent="0.2">
      <c r="B19" s="32">
        <f>IF(B18&gt;='User input'!F$24," ",B18+1)</f>
        <v>7</v>
      </c>
      <c r="C19" s="23">
        <f>IF(B19&gt;'User input'!F$24,"",'User input'!L$35^B19)</f>
        <v>0.80022343389424211</v>
      </c>
      <c r="D19" s="32">
        <f>IF(B19&gt;'User input'!F$24,"",IF(B19=0,'User input'!F$17,D18+1))</f>
        <v>7</v>
      </c>
      <c r="E19" s="34">
        <f>IF(B19&gt;'User input'!F$24,"",IF(B19=0,'User input'!F$18,E18+'User input'!F$31))</f>
        <v>7584.7123719464144</v>
      </c>
      <c r="F19" s="35">
        <f>IF(B19&gt;'User input'!F$24,"",EXP('User input'!G$14*(D19-'User input'!F$17)+'User input'!H$14*((E19-'User input'!F$18)/100)+'User input'!I$14*(D19-'User input'!F$17)*(E19-'User input'!F$18)/100)*'User input'!F$20*IF(B19=0,1,(1-'User input'!F$76)))</f>
        <v>44599.090087060649</v>
      </c>
      <c r="G19" s="48">
        <f>IF(B19&gt;'User input'!F$24,"",IF(B19&gt;0,F18*'User input'!L$16,0))</f>
        <v>2763.0998144579507</v>
      </c>
      <c r="H19" s="36">
        <f>IF(B19&gt;'User input'!F$24,"",IF(B19&gt;0,F18-F19,0))</f>
        <v>10662.906202098362</v>
      </c>
      <c r="I19" s="22">
        <f>IF(B19&gt;'User input'!F$24,"",IF(B19&gt;7,0,IF(SUM(I$11:I18)&lt;1,IF(B19='User input'!F$24,'User input'!L32/2,'User input'!L32),0)))</f>
        <v>2.23E-2</v>
      </c>
      <c r="J19" s="48">
        <f>IF(B19&gt;'User input'!F$24,"",IF(B19=0,MIN('User input'!F$19,'User input'!L$20)+'User input'!L$22+'User input'!L$23*I19,'User input'!L$23*I19))</f>
        <v>2230</v>
      </c>
      <c r="K19" s="51">
        <f>IF(B19&gt;'User input'!F$24,"",IF(B19=0,'User input'!F$19-J19,K18-J19))</f>
        <v>2230</v>
      </c>
      <c r="L19" s="36">
        <f>IF(B19&gt;'User input'!F$24,"",IF(B19&gt;0,('User input'!F$19-'User input'!F$21)*'User input'!L$16,0))</f>
        <v>8000</v>
      </c>
      <c r="M19" s="35">
        <f>IF(B19&gt;'User input'!F$24,"",IF(B19='User input'!F$24,'User input'!F$19-'User input'!F$21,0))</f>
        <v>160000</v>
      </c>
      <c r="N19" s="35">
        <f>IF(B19&gt;'User input'!F$24,"",IF(B19=0,'User input'!F$21,IF(B19='User input'!F$24,-F19,0)))</f>
        <v>-44599.090087060649</v>
      </c>
      <c r="O19" s="35">
        <f>IF(B19&gt;'User input'!F$24,"",IF(B19&gt;0,'User input'!F$47*F18,0))</f>
        <v>828.92994433738511</v>
      </c>
      <c r="P19" s="63">
        <f>IF(B19&gt;'User input'!F$24,"",(IF(E19&gt;'User input'!L$14,(E19-'User input'!L$14)*'User input'!F$45+'User input'!J$14*'User input'!F$22*'User input'!F$77*('User input'!L$14/1000)^'User input'!K$14,'User input'!J$14*'User input'!F$22*'User input'!F$77*(E19/1000)^'User input'!K$14))*'User input'!F$44)</f>
        <v>438099.29078014183</v>
      </c>
      <c r="Q19" s="48">
        <f>IF(B19&gt;'User input'!F$24,"",IF(B19&gt;0,(P19-P18),0))</f>
        <v>78014.184397163102</v>
      </c>
      <c r="R19" s="64">
        <f>IF(B19&gt;'User input'!F$24,"",Q19/'User input'!F$30)</f>
        <v>1.560283687943262</v>
      </c>
      <c r="S19" s="48">
        <f>IF(B19&gt;'User input'!F$24,"",(J19+L19+O19+Q19)*('User input'!L$18+'User input'!L$19)-IF(B19='User input'!F$24,(F19-K19)*'User input'!L$18,0))</f>
        <v>22968.991345137543</v>
      </c>
      <c r="T19" s="48">
        <f>IF(B19&gt;'User input'!F$24,"",L19+M19+N19+O19+Q19-S19)</f>
        <v>179275.03290930233</v>
      </c>
      <c r="U19" s="35">
        <f>IF(B19&gt;'User input'!F$24,"",C19*T19)</f>
        <v>143460.08244618517</v>
      </c>
    </row>
    <row r="20" spans="2:21" ht="14.1" customHeight="1" x14ac:dyDescent="0.2">
      <c r="B20" s="32" t="str">
        <f>IF(B19&gt;='User input'!F$24," ",B19+1)</f>
        <v xml:space="preserve"> </v>
      </c>
      <c r="C20" s="23" t="str">
        <f>IF(B20&gt;'User input'!F$24,"",'User input'!L$35^B20)</f>
        <v/>
      </c>
      <c r="D20" s="32" t="str">
        <f>IF(B20&gt;'User input'!F$24,"",IF(B20=0,'User input'!F$17,D19+1))</f>
        <v/>
      </c>
      <c r="E20" s="34" t="str">
        <f>IF(B20&gt;'User input'!F$24,"",IF(B20=0,'User input'!F$18,E19+'User input'!F$31))</f>
        <v/>
      </c>
      <c r="F20" s="35" t="str">
        <f>IF(B20&gt;'User input'!F$24,"",EXP('User input'!G$14*(D20-'User input'!F$17)+'User input'!H$14*((E20-'User input'!F$18)/100)+'User input'!I$14*(D20-'User input'!F$17)*(E20-'User input'!F$18)/100)*'User input'!F$20*IF(B20=0,1,(1-'User input'!F$76)))</f>
        <v/>
      </c>
      <c r="G20" s="48" t="str">
        <f>IF(B20&gt;'User input'!F$24,"",IF(B20&gt;0,F19*'User input'!L$16,0))</f>
        <v/>
      </c>
      <c r="H20" s="36" t="str">
        <f>IF(B20&gt;'User input'!F$24,"",IF(B20&gt;0,F19-F20,0))</f>
        <v/>
      </c>
      <c r="I20" s="22" t="str">
        <f>IF(B20&gt;'User input'!F$24,"",IF(B20&gt;7,0,IF(SUM(I$11:I19)&lt;1,IF(B20='User input'!F$24,'User input'!L33/2,'User input'!L33),0)))</f>
        <v/>
      </c>
      <c r="J20" s="48" t="str">
        <f>IF(B20&gt;'User input'!F$24,"",IF(B20=0,MIN('User input'!F$19,'User input'!L$20)+'User input'!L$22+'User input'!L$23*I20,'User input'!L$23*I20))</f>
        <v/>
      </c>
      <c r="K20" s="51" t="str">
        <f>IF(B20&gt;'User input'!F$24,"",IF(B20=0,'User input'!F$19-J20,K19-J20))</f>
        <v/>
      </c>
      <c r="L20" s="36" t="str">
        <f>IF(B20&gt;'User input'!F$24,"",IF(B20&gt;0,('User input'!F$19-'User input'!F$21)*'User input'!L$16,0))</f>
        <v/>
      </c>
      <c r="M20" s="35" t="str">
        <f>IF(B20&gt;'User input'!F$24,"",IF(B20='User input'!F$24,'User input'!F$19-'User input'!F$21,0))</f>
        <v/>
      </c>
      <c r="N20" s="35" t="str">
        <f>IF(B20&gt;'User input'!F$24,"",IF(B20=0,'User input'!F$21,IF(B20='User input'!F$24,-F20,0)))</f>
        <v/>
      </c>
      <c r="O20" s="35" t="str">
        <f>IF(B20&gt;'User input'!F$24,"",IF(B20&gt;0,'User input'!F$47*F19,0))</f>
        <v/>
      </c>
      <c r="P20" s="63" t="str">
        <f>IF(B20&gt;'User input'!F$24,"",(IF(E20&gt;'User input'!L$14,(E20-'User input'!L$14)*'User input'!F$45+'User input'!J$14*'User input'!F$22*'User input'!F$77*('User input'!L$14/1000)^'User input'!K$14,'User input'!J$14*'User input'!F$22*'User input'!F$77*(E20/1000)^'User input'!K$14))*'User input'!F$44)</f>
        <v/>
      </c>
      <c r="Q20" s="48" t="str">
        <f>IF(B20&gt;'User input'!F$24,"",IF(B20&gt;0,(P20-P19),0))</f>
        <v/>
      </c>
      <c r="R20" s="64" t="str">
        <f>IF(B20&gt;'User input'!F$24,"",Q20/'User input'!F$30)</f>
        <v/>
      </c>
      <c r="S20" s="48" t="str">
        <f>IF(B20&gt;'User input'!F$24,"",(J20+L20+O20+Q20)*('User input'!L$18+'User input'!L$19)-IF(B20='User input'!F$24,(F20-K20)*'User input'!L$18,0))</f>
        <v/>
      </c>
      <c r="T20" s="48" t="str">
        <f>IF(B20&gt;'User input'!F$24,"",L20+M20+N20+O20+Q20-S20)</f>
        <v/>
      </c>
      <c r="U20" s="35" t="str">
        <f>IF(B20&gt;'User input'!F$24,"",C20*T20)</f>
        <v/>
      </c>
    </row>
    <row r="21" spans="2:21" ht="14.1" customHeight="1" x14ac:dyDescent="0.2">
      <c r="B21" s="32" t="str">
        <f>IF(B20&gt;='User input'!F$24," ",B20+1)</f>
        <v xml:space="preserve"> </v>
      </c>
      <c r="C21" s="23" t="str">
        <f>IF(B21&gt;'User input'!F$24,"",'User input'!L$35^B21)</f>
        <v/>
      </c>
      <c r="D21" s="32" t="str">
        <f>IF(B21&gt;'User input'!F$24,"",IF(B21=0,'User input'!F$17,D20+1))</f>
        <v/>
      </c>
      <c r="E21" s="34" t="str">
        <f>IF(B21&gt;'User input'!F$24,"",IF(B21=0,'User input'!F$18,E20+'User input'!F$31))</f>
        <v/>
      </c>
      <c r="F21" s="35" t="str">
        <f>IF(B21&gt;'User input'!F$24,"",EXP('User input'!G$14*(D21-'User input'!F$17)+'User input'!H$14*((E21-'User input'!F$18)/100)+'User input'!I$14*(D21-'User input'!F$17)*(E21-'User input'!F$18)/100)*'User input'!F$20*IF(B21=0,1,(1-'User input'!F$76)))</f>
        <v/>
      </c>
      <c r="G21" s="48" t="str">
        <f>IF(B21&gt;'User input'!F$24,"",IF(B21&gt;0,F20*'User input'!L$16,0))</f>
        <v/>
      </c>
      <c r="H21" s="36" t="str">
        <f>IF(B21&gt;'User input'!F$24,"",IF(B21&gt;0,F20-F21,0))</f>
        <v/>
      </c>
      <c r="I21" s="22" t="str">
        <f>IF(B21&gt;'User input'!F$24,"",IF(B21&gt;7,0,IF(SUM(I$11:I20)&lt;1,IF(B21='User input'!F$24,'User input'!L34/2,'User input'!L34),0)))</f>
        <v/>
      </c>
      <c r="J21" s="48" t="str">
        <f>IF(B21&gt;'User input'!F$24,"",IF(B21=0,MIN('User input'!F$19,'User input'!L$20)+'User input'!L$22+'User input'!L$23*I21,'User input'!L$23*I21))</f>
        <v/>
      </c>
      <c r="K21" s="51" t="str">
        <f>IF(B21&gt;'User input'!F$24,"",IF(B21=0,'User input'!F$19-J21,K20-J21))</f>
        <v/>
      </c>
      <c r="L21" s="36" t="str">
        <f>IF(B21&gt;'User input'!F$24,"",IF(B21&gt;0,('User input'!F$19-'User input'!F$21)*'User input'!L$16,0))</f>
        <v/>
      </c>
      <c r="M21" s="35" t="str">
        <f>IF(B21&gt;'User input'!F$24,"",IF(B21='User input'!F$24,'User input'!F$19-'User input'!F$21,0))</f>
        <v/>
      </c>
      <c r="N21" s="35" t="str">
        <f>IF(B21&gt;'User input'!F$24,"",IF(B21=0,'User input'!F$21,IF(B21='User input'!F$24,-F21,0)))</f>
        <v/>
      </c>
      <c r="O21" s="35" t="str">
        <f>IF(B21&gt;'User input'!F$24,"",IF(B21&gt;0,'User input'!F$47*F20,0))</f>
        <v/>
      </c>
      <c r="P21" s="63" t="str">
        <f>IF(B21&gt;'User input'!F$24,"",(IF(E21&gt;'User input'!L$14,(E21-'User input'!L$14)*'User input'!F$45+'User input'!J$14*'User input'!F$22*'User input'!F$77*('User input'!L$14/1000)^'User input'!K$14,'User input'!J$14*'User input'!F$22*'User input'!F$77*(E21/1000)^'User input'!K$14))*'User input'!F$44)</f>
        <v/>
      </c>
      <c r="Q21" s="48" t="str">
        <f>IF(B21&gt;'User input'!F$24,"",IF(B21&gt;0,(P21-P20),0))</f>
        <v/>
      </c>
      <c r="R21" s="64" t="str">
        <f>IF(B21&gt;'User input'!F$24,"",Q21/'User input'!F$30)</f>
        <v/>
      </c>
      <c r="S21" s="48" t="str">
        <f>IF(B21&gt;'User input'!F$24,"",(J21+L21+O21+Q21)*('User input'!L$18+'User input'!L$19)-IF(B21='User input'!F$24,(F21-K21)*'User input'!L$18,0))</f>
        <v/>
      </c>
      <c r="T21" s="48" t="str">
        <f>IF(B21&gt;'User input'!F$24,"",L21+M21+N21+O21+Q21-S21)</f>
        <v/>
      </c>
      <c r="U21" s="35" t="str">
        <f>IF(B21&gt;'User input'!F$24,"",C21*T21)</f>
        <v/>
      </c>
    </row>
    <row r="22" spans="2:21" ht="14.1" customHeight="1" x14ac:dyDescent="0.2">
      <c r="B22" s="32" t="str">
        <f>IF(B21&gt;='User input'!F$24," ",B21+1)</f>
        <v xml:space="preserve"> </v>
      </c>
      <c r="C22" s="23" t="str">
        <f>IF(B22&gt;'User input'!F$24,"",'User input'!L$35^B22)</f>
        <v/>
      </c>
      <c r="D22" s="32" t="str">
        <f>IF(B22&gt;'User input'!F$24,"",IF(B22=0,'User input'!F$17,D21+1))</f>
        <v/>
      </c>
      <c r="E22" s="34" t="str">
        <f>IF(B22&gt;'User input'!F$24,"",IF(B22=0,'User input'!F$18,E21+'User input'!F$31))</f>
        <v/>
      </c>
      <c r="F22" s="35" t="str">
        <f>IF(B22&gt;'User input'!F$24,"",EXP('User input'!G$14*(D22-'User input'!F$17)+'User input'!H$14*((E22-'User input'!F$18)/100)+'User input'!I$14*(D22-'User input'!F$17)*(E22-'User input'!F$18)/100)*'User input'!F$20*IF(B22=0,1,(1-'User input'!F$76)))</f>
        <v/>
      </c>
      <c r="G22" s="48" t="str">
        <f>IF(B22&gt;'User input'!F$24,"",IF(B22&gt;0,F21*'User input'!L$16,0))</f>
        <v/>
      </c>
      <c r="H22" s="36" t="str">
        <f>IF(B22&gt;'User input'!F$24,"",IF(B22&gt;0,F21-F22,0))</f>
        <v/>
      </c>
      <c r="I22" s="22" t="str">
        <f>IF(B22&gt;'User input'!F$24,"",IF(B22&gt;7,0,IF(SUM(I$11:I21)&lt;1,IF(B22='User input'!F$24,'User input'!L35/2,'User input'!L35),0)))</f>
        <v/>
      </c>
      <c r="J22" s="48" t="str">
        <f>IF(B22&gt;'User input'!F$24,"",IF(B22=0,MIN('User input'!F$19,'User input'!L$20)+'User input'!L$22+'User input'!L$23*I22,'User input'!L$23*I22))</f>
        <v/>
      </c>
      <c r="K22" s="51" t="str">
        <f>IF(B22&gt;'User input'!F$24,"",IF(B22=0,'User input'!F$19-J22,K21-J22))</f>
        <v/>
      </c>
      <c r="L22" s="36" t="str">
        <f>IF(B22&gt;'User input'!F$24,"",IF(B22&gt;0,('User input'!F$19-'User input'!F$21)*'User input'!L$16,0))</f>
        <v/>
      </c>
      <c r="M22" s="35" t="str">
        <f>IF(B22&gt;'User input'!F$24,"",IF(B22='User input'!F$24,'User input'!F$19-'User input'!F$21,0))</f>
        <v/>
      </c>
      <c r="N22" s="35" t="str">
        <f>IF(B22&gt;'User input'!F$24,"",IF(B22=0,'User input'!F$21,IF(B22='User input'!F$24,-F22,0)))</f>
        <v/>
      </c>
      <c r="O22" s="35" t="str">
        <f>IF(B22&gt;'User input'!F$24,"",IF(B22&gt;0,'User input'!F$47*F21,0))</f>
        <v/>
      </c>
      <c r="P22" s="63" t="str">
        <f>IF(B22&gt;'User input'!F$24,"",(IF(E22&gt;'User input'!L$14,(E22-'User input'!L$14)*'User input'!F$45+'User input'!J$14*'User input'!F$22*'User input'!F$77*('User input'!L$14/1000)^'User input'!K$14,'User input'!J$14*'User input'!F$22*'User input'!F$77*(E22/1000)^'User input'!K$14))*'User input'!F$44)</f>
        <v/>
      </c>
      <c r="Q22" s="48" t="str">
        <f>IF(B22&gt;'User input'!F$24,"",IF(B22&gt;0,(P22-P21),0))</f>
        <v/>
      </c>
      <c r="R22" s="64" t="str">
        <f>IF(B22&gt;'User input'!F$24,"",Q22/'User input'!F$30)</f>
        <v/>
      </c>
      <c r="S22" s="48" t="str">
        <f>IF(B22&gt;'User input'!F$24,"",(J22+L22+O22+Q22)*('User input'!L$18+'User input'!L$19)-IF(B22='User input'!F$24,(F22-K22)*'User input'!L$18,0))</f>
        <v/>
      </c>
      <c r="T22" s="48" t="str">
        <f>IF(B22&gt;'User input'!F$24,"",L22+M22+N22+O22+Q22-S22)</f>
        <v/>
      </c>
      <c r="U22" s="35" t="str">
        <f>IF(B22&gt;'User input'!F$24,"",C22*T22)</f>
        <v/>
      </c>
    </row>
    <row r="23" spans="2:21" ht="14.1" customHeight="1" x14ac:dyDescent="0.2">
      <c r="B23" s="32" t="str">
        <f>IF(B22&gt;='User input'!F$24," ",B22+1)</f>
        <v xml:space="preserve"> </v>
      </c>
      <c r="C23" s="23" t="str">
        <f>IF(B23&gt;'User input'!F$24,"",'User input'!L$35^B23)</f>
        <v/>
      </c>
      <c r="D23" s="32" t="str">
        <f>IF(B23&gt;'User input'!F$24,"",IF(B23=0,'User input'!F$17,D22+1))</f>
        <v/>
      </c>
      <c r="E23" s="34" t="str">
        <f>IF(B23&gt;'User input'!F$24,"",IF(B23=0,'User input'!F$18,E22+'User input'!F$31))</f>
        <v/>
      </c>
      <c r="F23" s="35" t="str">
        <f>IF(B23&gt;'User input'!F$24,"",EXP('User input'!G$14*(D23-'User input'!F$17)+'User input'!H$14*((E23-'User input'!F$18)/100)+'User input'!I$14*(D23-'User input'!F$17)*(E23-'User input'!F$18)/100)*'User input'!F$20*IF(B23=0,1,(1-'User input'!F$76)))</f>
        <v/>
      </c>
      <c r="G23" s="48" t="str">
        <f>IF(B23&gt;'User input'!F$24,"",IF(B23&gt;0,F22*'User input'!L$16,0))</f>
        <v/>
      </c>
      <c r="H23" s="36" t="str">
        <f>IF(B23&gt;'User input'!F$24,"",IF(B23&gt;0,F22-F23,0))</f>
        <v/>
      </c>
      <c r="I23" s="22" t="str">
        <f>IF(B23&gt;'User input'!F$24,"",IF(B23&gt;7,0,IF(SUM(I$11:I22)&lt;1,IF(B23='User input'!F$24,'User input'!#REF!/2,'User input'!#REF!),0)))</f>
        <v/>
      </c>
      <c r="J23" s="48" t="str">
        <f>IF(B23&gt;'User input'!F$24,"",IF(B23=0,MIN('User input'!F$19,'User input'!L$20)+'User input'!L$22+'User input'!L$23*I23,'User input'!L$23*I23))</f>
        <v/>
      </c>
      <c r="K23" s="51" t="str">
        <f>IF(B23&gt;'User input'!F$24,"",IF(B23=0,'User input'!F$19-J23,K22-J23))</f>
        <v/>
      </c>
      <c r="L23" s="36" t="str">
        <f>IF(B23&gt;'User input'!F$24,"",IF(B23&gt;0,('User input'!F$19-'User input'!F$21)*'User input'!L$16,0))</f>
        <v/>
      </c>
      <c r="M23" s="35" t="str">
        <f>IF(B23&gt;'User input'!F$24,"",IF(B23='User input'!F$24,'User input'!F$19-'User input'!F$21,0))</f>
        <v/>
      </c>
      <c r="N23" s="35" t="str">
        <f>IF(B23&gt;'User input'!F$24,"",IF(B23=0,'User input'!F$21,IF(B23='User input'!F$24,-F23,0)))</f>
        <v/>
      </c>
      <c r="O23" s="35" t="str">
        <f>IF(B23&gt;'User input'!F$24,"",IF(B23&gt;0,'User input'!F$47*F22,0))</f>
        <v/>
      </c>
      <c r="P23" s="63" t="str">
        <f>IF(B23&gt;'User input'!F$24,"",(IF(E23&gt;'User input'!L$14,(E23-'User input'!L$14)*'User input'!F$45+'User input'!J$14*'User input'!F$22*'User input'!F$77*('User input'!L$14/1000)^'User input'!K$14,'User input'!J$14*'User input'!F$22*'User input'!F$77*(E23/1000)^'User input'!K$14))*'User input'!F$44)</f>
        <v/>
      </c>
      <c r="Q23" s="48" t="str">
        <f>IF(B23&gt;'User input'!F$24,"",IF(B23&gt;0,(P23-P22),0))</f>
        <v/>
      </c>
      <c r="R23" s="64" t="str">
        <f>IF(B23&gt;'User input'!F$24,"",Q23/'User input'!F$30)</f>
        <v/>
      </c>
      <c r="S23" s="48" t="str">
        <f>IF(B23&gt;'User input'!F$24,"",(J23+L23+O23+Q23)*('User input'!L$18+'User input'!L$19)-IF(B23='User input'!F$24,(F23-K23)*'User input'!L$18,0))</f>
        <v/>
      </c>
      <c r="T23" s="48" t="str">
        <f>IF(B23&gt;'User input'!F$24,"",L23+M23+N23+O23+Q23-S23)</f>
        <v/>
      </c>
      <c r="U23" s="35" t="str">
        <f>IF(B23&gt;'User input'!F$24,"",C23*T23)</f>
        <v/>
      </c>
    </row>
    <row r="24" spans="2:21" ht="14.1" customHeight="1" x14ac:dyDescent="0.2">
      <c r="B24" s="32" t="str">
        <f>IF(B23&gt;='User input'!F$24," ",B23+1)</f>
        <v xml:space="preserve"> </v>
      </c>
      <c r="C24" s="23" t="str">
        <f>IF(B24&gt;'User input'!F$24,"",'User input'!L$35^B24)</f>
        <v/>
      </c>
      <c r="D24" s="32" t="str">
        <f>IF(B24&gt;'User input'!F$24,"",IF(B24=0,'User input'!F$17,D23+1))</f>
        <v/>
      </c>
      <c r="E24" s="34" t="str">
        <f>IF(B24&gt;'User input'!F$24,"",IF(B24=0,'User input'!F$18,E23+'User input'!F$31))</f>
        <v/>
      </c>
      <c r="F24" s="35" t="str">
        <f>IF(B24&gt;'User input'!F$24,"",EXP('User input'!G$14*(D24-'User input'!F$17)+'User input'!H$14*((E24-'User input'!F$18)/100)+'User input'!I$14*(D24-'User input'!F$17)*(E24-'User input'!F$18)/100)*'User input'!F$20*IF(B24=0,1,(1-'User input'!F$76)))</f>
        <v/>
      </c>
      <c r="G24" s="48" t="str">
        <f>IF(B24&gt;'User input'!F$24,"",IF(B24&gt;0,F23*'User input'!L$16,0))</f>
        <v/>
      </c>
      <c r="H24" s="36" t="str">
        <f>IF(B24&gt;'User input'!F$24,"",IF(B24&gt;0,F23-F24,0))</f>
        <v/>
      </c>
      <c r="I24" s="22" t="str">
        <f>IF(B24&gt;'User input'!F$24,"",IF(B24&gt;7,0,IF(SUM(I$11:I23)&lt;1,IF(B24='User input'!F$24,'User input'!F38/2,'User input'!F38),0)))</f>
        <v/>
      </c>
      <c r="J24" s="48" t="str">
        <f>IF(B24&gt;'User input'!F$24,"",IF(B24=0,MIN('User input'!F$19,'User input'!L$20)+'User input'!L$22+'User input'!L$23*I24,'User input'!L$23*I24))</f>
        <v/>
      </c>
      <c r="K24" s="51" t="str">
        <f>IF(B24&gt;'User input'!F$24,"",IF(B24=0,'User input'!F$19-J24,K23-J24))</f>
        <v/>
      </c>
      <c r="L24" s="36" t="str">
        <f>IF(B24&gt;'User input'!F$24,"",IF(B24&gt;0,('User input'!F$19-'User input'!F$21)*'User input'!L$16,0))</f>
        <v/>
      </c>
      <c r="M24" s="35" t="str">
        <f>IF(B24&gt;'User input'!F$24,"",IF(B24='User input'!F$24,'User input'!F$19-'User input'!F$21,0))</f>
        <v/>
      </c>
      <c r="N24" s="35" t="str">
        <f>IF(B24&gt;'User input'!F$24,"",IF(B24=0,'User input'!F$21,IF(B24='User input'!F$24,-F24,0)))</f>
        <v/>
      </c>
      <c r="O24" s="35" t="str">
        <f>IF(B24&gt;'User input'!F$24,"",IF(B24&gt;0,'User input'!F$47*F23,0))</f>
        <v/>
      </c>
      <c r="P24" s="63" t="str">
        <f>IF(B24&gt;'User input'!F$24,"",(IF(E24&gt;'User input'!L$14,(E24-'User input'!L$14)*'User input'!F$45+'User input'!J$14*'User input'!F$22*'User input'!F$77*('User input'!L$14/1000)^'User input'!K$14,'User input'!J$14*'User input'!F$22*'User input'!F$77*(E24/1000)^'User input'!K$14))*'User input'!F$44)</f>
        <v/>
      </c>
      <c r="Q24" s="48" t="str">
        <f>IF(B24&gt;'User input'!F$24,"",IF(B24&gt;0,(P24-P23),0))</f>
        <v/>
      </c>
      <c r="R24" s="64" t="str">
        <f>IF(B24&gt;'User input'!F$24,"",Q24/'User input'!F$30)</f>
        <v/>
      </c>
      <c r="S24" s="48" t="str">
        <f>IF(B24&gt;'User input'!F$24,"",(J24+L24+O24+Q24)*('User input'!L$18+'User input'!L$19)-IF(B24='User input'!F$24,(F24-K24)*'User input'!L$18,0))</f>
        <v/>
      </c>
      <c r="T24" s="48" t="str">
        <f>IF(B24&gt;'User input'!F$24,"",L24+M24+N24+O24+Q24-S24)</f>
        <v/>
      </c>
      <c r="U24" s="35" t="str">
        <f>IF(B24&gt;'User input'!F$24,"",C24*T24)</f>
        <v/>
      </c>
    </row>
    <row r="25" spans="2:21" ht="14.1" customHeight="1" x14ac:dyDescent="0.2">
      <c r="B25" s="32" t="str">
        <f>IF(B24&gt;='User input'!F$24," ",B24+1)</f>
        <v xml:space="preserve"> </v>
      </c>
      <c r="C25" s="23" t="str">
        <f>IF(B25&gt;'User input'!F$24,"",'User input'!L$35^B25)</f>
        <v/>
      </c>
      <c r="D25" s="32" t="str">
        <f>IF(B25&gt;'User input'!F$24,"",IF(B25=0,'User input'!F$17,D24+1))</f>
        <v/>
      </c>
      <c r="E25" s="34" t="str">
        <f>IF(B25&gt;'User input'!F$24,"",IF(B25=0,'User input'!F$18,E24+'User input'!F$31))</f>
        <v/>
      </c>
      <c r="F25" s="35" t="str">
        <f>IF(B25&gt;'User input'!F$24,"",EXP('User input'!G$14*(D25-'User input'!F$17)+'User input'!H$14*((E25-'User input'!F$18)/100)+'User input'!I$14*(D25-'User input'!F$17)*(E25-'User input'!F$18)/100)*'User input'!F$20*IF(B25=0,1,(1-'User input'!F$76)))</f>
        <v/>
      </c>
      <c r="G25" s="48" t="str">
        <f>IF(B25&gt;'User input'!F$24,"",IF(B25&gt;0,F24*'User input'!L$16,0))</f>
        <v/>
      </c>
      <c r="H25" s="36" t="str">
        <f>IF(B25&gt;'User input'!F$24,"",IF(B25&gt;0,F24-F25,0))</f>
        <v/>
      </c>
      <c r="I25" s="22" t="str">
        <f>IF(B25&gt;'User input'!F$24,"",IF(B25&gt;7,0,IF(SUM(I$11:I24)&lt;1,IF(B25='User input'!F$24,'User input'!F39/2,'User input'!F39),0)))</f>
        <v/>
      </c>
      <c r="J25" s="48" t="str">
        <f>IF(B25&gt;'User input'!F$24,"",IF(B25=0,MIN('User input'!F$19,'User input'!L$20)+'User input'!L$22+'User input'!L$23*I25,'User input'!L$23*I25))</f>
        <v/>
      </c>
      <c r="K25" s="51" t="str">
        <f>IF(B25&gt;'User input'!F$24,"",IF(B25=0,'User input'!F$19-J25,K24-J25))</f>
        <v/>
      </c>
      <c r="L25" s="36" t="str">
        <f>IF(B25&gt;'User input'!F$24,"",IF(B25&gt;0,('User input'!F$19-'User input'!F$21)*'User input'!L$16,0))</f>
        <v/>
      </c>
      <c r="M25" s="35" t="str">
        <f>IF(B25&gt;'User input'!F$24,"",IF(B25='User input'!F$24,'User input'!F$19-'User input'!F$21,0))</f>
        <v/>
      </c>
      <c r="N25" s="35" t="str">
        <f>IF(B25&gt;'User input'!F$24,"",IF(B25=0,'User input'!F$21,IF(B25='User input'!F$24,-F25,0)))</f>
        <v/>
      </c>
      <c r="O25" s="35" t="str">
        <f>IF(B25&gt;'User input'!F$24,"",IF(B25&gt;0,'User input'!F$47*F24,0))</f>
        <v/>
      </c>
      <c r="P25" s="63" t="str">
        <f>IF(B25&gt;'User input'!F$24,"",(IF(E25&gt;'User input'!L$14,(E25-'User input'!L$14)*'User input'!F$45+'User input'!J$14*'User input'!F$22*'User input'!F$77*('User input'!L$14/1000)^'User input'!K$14,'User input'!J$14*'User input'!F$22*'User input'!F$77*(E25/1000)^'User input'!K$14))*'User input'!F$44)</f>
        <v/>
      </c>
      <c r="Q25" s="48" t="str">
        <f>IF(B25&gt;'User input'!F$24,"",IF(B25&gt;0,(P25-P24),0))</f>
        <v/>
      </c>
      <c r="R25" s="64" t="str">
        <f>IF(B25&gt;'User input'!F$24,"",Q25/'User input'!F$30)</f>
        <v/>
      </c>
      <c r="S25" s="48" t="str">
        <f>IF(B25&gt;'User input'!F$24,"",(J25+L25+O25+Q25)*('User input'!L$18+'User input'!L$19)-IF(B25='User input'!F$24,(F25-K25)*'User input'!L$18,0))</f>
        <v/>
      </c>
      <c r="T25" s="48" t="str">
        <f>IF(B25&gt;'User input'!F$24,"",L25+M25+N25+O25+Q25-S25)</f>
        <v/>
      </c>
      <c r="U25" s="35" t="str">
        <f>IF(B25&gt;'User input'!F$24,"",C25*T25)</f>
        <v/>
      </c>
    </row>
    <row r="26" spans="2:21" ht="14.1" customHeight="1" x14ac:dyDescent="0.2">
      <c r="B26" s="32" t="str">
        <f>IF(B25&gt;='User input'!F$24," ",B25+1)</f>
        <v xml:space="preserve"> </v>
      </c>
      <c r="C26" s="23" t="str">
        <f>IF(B26&gt;'User input'!F$24,"",'User input'!L$35^B26)</f>
        <v/>
      </c>
      <c r="D26" s="32" t="str">
        <f>IF(B26&gt;'User input'!F$24,"",IF(B26=0,'User input'!F$17,D25+1))</f>
        <v/>
      </c>
      <c r="E26" s="34" t="str">
        <f>IF(B26&gt;'User input'!F$24,"",IF(B26=0,'User input'!F$18,E25+'User input'!F$31))</f>
        <v/>
      </c>
      <c r="F26" s="35" t="str">
        <f>IF(B26&gt;'User input'!F$24,"",EXP('User input'!G$14*(D26-'User input'!F$17)+'User input'!H$14*((E26-'User input'!F$18)/100)+'User input'!I$14*(D26-'User input'!F$17)*(E26-'User input'!F$18)/100)*'User input'!F$20*IF(B26=0,1,(1-'User input'!F$76)))</f>
        <v/>
      </c>
      <c r="G26" s="48" t="str">
        <f>IF(B26&gt;'User input'!F$24,"",IF(B26&gt;0,F25*'User input'!L$16,0))</f>
        <v/>
      </c>
      <c r="H26" s="36" t="str">
        <f>IF(B26&gt;'User input'!F$24,"",IF(B26&gt;0,F25-F26,0))</f>
        <v/>
      </c>
      <c r="I26" s="22" t="str">
        <f>IF(B26&gt;'User input'!F$24,"",IF(B26&gt;7,0,IF(SUM(I$11:I25)&lt;1,IF(B26='User input'!F$24,'User input'!F40/2,'User input'!F40),0)))</f>
        <v/>
      </c>
      <c r="J26" s="48" t="str">
        <f>IF(B26&gt;'User input'!F$24,"",IF(B26=0,MIN('User input'!F$19,'User input'!L$20)+'User input'!L$22+'User input'!L$23*I26,'User input'!L$23*I26))</f>
        <v/>
      </c>
      <c r="K26" s="51" t="str">
        <f>IF(B26&gt;'User input'!F$24,"",IF(B26=0,'User input'!F$19-J26,K25-J26))</f>
        <v/>
      </c>
      <c r="L26" s="36" t="str">
        <f>IF(B26&gt;'User input'!F$24,"",IF(B26&gt;0,('User input'!F$19-'User input'!F$21)*'User input'!L$16,0))</f>
        <v/>
      </c>
      <c r="M26" s="35" t="str">
        <f>IF(B26&gt;'User input'!F$24,"",IF(B26='User input'!F$24,'User input'!F$19-'User input'!F$21,0))</f>
        <v/>
      </c>
      <c r="N26" s="35" t="str">
        <f>IF(B26&gt;'User input'!F$24,"",IF(B26=0,'User input'!F$21,IF(B26='User input'!F$24,-F26,0)))</f>
        <v/>
      </c>
      <c r="O26" s="35" t="str">
        <f>IF(B26&gt;'User input'!F$24,"",IF(B26&gt;0,'User input'!F$47*F25,0))</f>
        <v/>
      </c>
      <c r="P26" s="63" t="str">
        <f>IF(B26&gt;'User input'!F$24,"",(IF(E26&gt;'User input'!L$14,(E26-'User input'!L$14)*'User input'!F$45+'User input'!J$14*'User input'!F$22*'User input'!F$77*('User input'!L$14/1000)^'User input'!K$14,'User input'!J$14*'User input'!F$22*'User input'!F$77*(E26/1000)^'User input'!K$14))*'User input'!F$44)</f>
        <v/>
      </c>
      <c r="Q26" s="48" t="str">
        <f>IF(B26&gt;'User input'!F$24,"",IF(B26&gt;0,(P26-P25),0))</f>
        <v/>
      </c>
      <c r="R26" s="64" t="str">
        <f>IF(B26&gt;'User input'!F$24,"",Q26/'User input'!F$30)</f>
        <v/>
      </c>
      <c r="S26" s="48" t="str">
        <f>IF(B26&gt;'User input'!F$24,"",(J26+L26+O26+Q26)*('User input'!L$18+'User input'!L$19)-IF(B26='User input'!F$24,(F26-K26)*'User input'!L$18,0))</f>
        <v/>
      </c>
      <c r="T26" s="48" t="str">
        <f>IF(B26&gt;'User input'!F$24,"",L26+M26+N26+O26+Q26-S26)</f>
        <v/>
      </c>
      <c r="U26" s="35" t="str">
        <f>IF(B26&gt;'User input'!F$24,"",C26*T26)</f>
        <v/>
      </c>
    </row>
    <row r="27" spans="2:21" ht="14.1" customHeight="1" x14ac:dyDescent="0.2">
      <c r="B27" s="32" t="str">
        <f>IF(B26&gt;='User input'!F$24," ",B26+1)</f>
        <v xml:space="preserve"> </v>
      </c>
      <c r="C27" s="23" t="str">
        <f>IF(B27&gt;'User input'!F$24,"",'User input'!L$35^B27)</f>
        <v/>
      </c>
      <c r="D27" s="32" t="str">
        <f>IF(B27&gt;'User input'!F$24,"",IF(B27=0,'User input'!F$17,D26+1))</f>
        <v/>
      </c>
      <c r="E27" s="34" t="str">
        <f>IF(B27&gt;'User input'!F$24,"",IF(B27=0,'User input'!F$18,E26+'User input'!F$31))</f>
        <v/>
      </c>
      <c r="F27" s="35" t="str">
        <f>IF(B27&gt;'User input'!F$24,"",EXP('User input'!G$14*(D27-'User input'!F$17)+'User input'!H$14*((E27-'User input'!F$18)/100)+'User input'!I$14*(D27-'User input'!F$17)*(E27-'User input'!F$18)/100)*'User input'!F$20*IF(B27=0,1,(1-'User input'!F$76)))</f>
        <v/>
      </c>
      <c r="G27" s="48" t="str">
        <f>IF(B27&gt;'User input'!F$24,"",IF(B27&gt;0,F26*'User input'!L$16,0))</f>
        <v/>
      </c>
      <c r="H27" s="36" t="str">
        <f>IF(B27&gt;'User input'!F$24,"",IF(B27&gt;0,F26-F27,0))</f>
        <v/>
      </c>
      <c r="I27" s="22" t="str">
        <f>IF(B27&gt;'User input'!F$24,"",IF(B27&gt;7,0,IF(SUM(I$11:I26)&lt;1,IF(B27='User input'!F$24,'User input'!F41/2,'User input'!F41),0)))</f>
        <v/>
      </c>
      <c r="J27" s="48" t="str">
        <f>IF(B27&gt;'User input'!F$24,"",IF(B27=0,MIN('User input'!F$19,'User input'!L$20)+'User input'!L$22+'User input'!L$23*I27,'User input'!L$23*I27))</f>
        <v/>
      </c>
      <c r="K27" s="51" t="str">
        <f>IF(B27&gt;'User input'!F$24,"",IF(B27=0,'User input'!F$19-J27,K26-J27))</f>
        <v/>
      </c>
      <c r="L27" s="36" t="str">
        <f>IF(B27&gt;'User input'!F$24,"",IF(B27&gt;0,('User input'!F$19-'User input'!F$21)*'User input'!L$16,0))</f>
        <v/>
      </c>
      <c r="M27" s="35" t="str">
        <f>IF(B27&gt;'User input'!F$24,"",IF(B27='User input'!F$24,'User input'!F$19-'User input'!F$21,0))</f>
        <v/>
      </c>
      <c r="N27" s="35" t="str">
        <f>IF(B27&gt;'User input'!F$24,"",IF(B27=0,'User input'!F$21,IF(B27='User input'!F$24,-F27,0)))</f>
        <v/>
      </c>
      <c r="O27" s="35" t="str">
        <f>IF(B27&gt;'User input'!F$24,"",IF(B27&gt;0,'User input'!F$47*F26,0))</f>
        <v/>
      </c>
      <c r="P27" s="63" t="str">
        <f>IF(B27&gt;'User input'!F$24,"",(IF(E27&gt;'User input'!L$14,(E27-'User input'!L$14)*'User input'!F$45+'User input'!J$14*'User input'!F$22*'User input'!F$77*('User input'!L$14/1000)^'User input'!K$14,'User input'!J$14*'User input'!F$22*'User input'!F$77*(E27/1000)^'User input'!K$14))*'User input'!F$44)</f>
        <v/>
      </c>
      <c r="Q27" s="48" t="str">
        <f>IF(B27&gt;'User input'!F$24,"",IF(B27&gt;0,(P27-P26),0))</f>
        <v/>
      </c>
      <c r="R27" s="64" t="str">
        <f>IF(B27&gt;'User input'!F$24,"",Q27/'User input'!F$30)</f>
        <v/>
      </c>
      <c r="S27" s="48" t="str">
        <f>IF(B27&gt;'User input'!F$24,"",(J27+L27+O27+Q27)*('User input'!L$18+'User input'!L$19)-IF(B27='User input'!F$24,(F27-K27)*'User input'!L$18,0))</f>
        <v/>
      </c>
      <c r="T27" s="48" t="str">
        <f>IF(B27&gt;'User input'!F$24,"",L27+M27+N27+O27+Q27-S27)</f>
        <v/>
      </c>
      <c r="U27" s="35" t="str">
        <f>IF(B27&gt;'User input'!F$24,"",C27*T27)</f>
        <v/>
      </c>
    </row>
    <row r="28" spans="2:21" customFormat="1" ht="14.1" customHeight="1" x14ac:dyDescent="0.2">
      <c r="B28" s="32" t="str">
        <f>IF(B27&gt;='User input'!F$24," ",B27+1)</f>
        <v xml:space="preserve"> </v>
      </c>
      <c r="C28" s="23" t="str">
        <f>IF(B28&gt;'User input'!F$24,"",'User input'!L$35^B28)</f>
        <v/>
      </c>
      <c r="D28" s="32" t="str">
        <f>IF(B28&gt;'User input'!F$24,"",IF(B28=0,'User input'!F$17,D27+1))</f>
        <v/>
      </c>
      <c r="E28" s="34" t="str">
        <f>IF(B28&gt;'User input'!F$24,"",IF(B28=0,'User input'!F$18,E27+'User input'!F$31))</f>
        <v/>
      </c>
      <c r="F28" s="35" t="str">
        <f>IF(B28&gt;'User input'!F$24,"",EXP('User input'!G$14*(D28-'User input'!F$17)+'User input'!H$14*((E28-'User input'!F$18)/100)+'User input'!I$14*(D28-'User input'!F$17)*(E28-'User input'!F$18)/100)*'User input'!F$20*IF(B28=0,1,(1-'User input'!F$76)))</f>
        <v/>
      </c>
      <c r="G28" s="48" t="str">
        <f>IF(B28&gt;'User input'!F$24,"",IF(B28&gt;0,F27*'User input'!L$16,0))</f>
        <v/>
      </c>
      <c r="H28" s="36" t="str">
        <f>IF(B28&gt;'User input'!F$24,"",IF(B28&gt;0,F27-F28,0))</f>
        <v/>
      </c>
      <c r="I28" s="22" t="str">
        <f>IF(B28&gt;'User input'!F$24,"",IF(B28&gt;7,0,IF(SUM(I$11:I27)&lt;1,IF(B28='User input'!F$24,'User input'!F42/2,'User input'!F42),0)))</f>
        <v/>
      </c>
      <c r="J28" s="48" t="str">
        <f>IF(B28&gt;'User input'!F$24,"",IF(B28=0,MIN('User input'!F$19,'User input'!L$20)+'User input'!L$22+'User input'!L$23*I28,'User input'!L$23*I28))</f>
        <v/>
      </c>
      <c r="K28" s="51" t="str">
        <f>IF(B28&gt;'User input'!F$24,"",IF(B28=0,'User input'!F$19-J28,K27-J28))</f>
        <v/>
      </c>
      <c r="L28" s="36" t="str">
        <f>IF(B28&gt;'User input'!F$24,"",IF(B28&gt;0,('User input'!F$19-'User input'!F$21)*'User input'!L$16,0))</f>
        <v/>
      </c>
      <c r="M28" s="35" t="str">
        <f>IF(B28&gt;'User input'!F$24,"",IF(B28='User input'!F$24,'User input'!F$19-'User input'!F$21,0))</f>
        <v/>
      </c>
      <c r="N28" s="35" t="str">
        <f>IF(B28&gt;'User input'!F$24,"",IF(B28=0,'User input'!F$21,IF(B28='User input'!F$24,-F28,0)))</f>
        <v/>
      </c>
      <c r="O28" s="35" t="str">
        <f>IF(B28&gt;'User input'!F$24,"",IF(B28&gt;0,'User input'!F$47*F27,0))</f>
        <v/>
      </c>
      <c r="P28" s="63" t="str">
        <f>IF(B28&gt;'User input'!F$24,"",(IF(E28&gt;'User input'!L$14,(E28-'User input'!L$14)*'User input'!F$45+'User input'!J$14*'User input'!F$22*'User input'!F$77*('User input'!L$14/1000)^'User input'!K$14,'User input'!J$14*'User input'!F$22*'User input'!F$77*(E28/1000)^'User input'!K$14))*'User input'!F$44)</f>
        <v/>
      </c>
      <c r="Q28" s="48" t="str">
        <f>IF(B28&gt;'User input'!F$24,"",IF(B28&gt;0,(P28-P27),0))</f>
        <v/>
      </c>
      <c r="R28" s="64" t="str">
        <f>IF(B28&gt;'User input'!F$24,"",Q28/'User input'!F$30)</f>
        <v/>
      </c>
      <c r="S28" s="48" t="str">
        <f>IF(B28&gt;'User input'!F$24,"",(J28+L28+O28+Q28)*('User input'!L$18+'User input'!L$19)-IF(B28='User input'!F$24,(F28-K28)*'User input'!L$18,0))</f>
        <v/>
      </c>
      <c r="T28" s="48" t="str">
        <f>IF(B28&gt;'User input'!F$24,"",L28+M28+N28+O28+Q28-S28)</f>
        <v/>
      </c>
      <c r="U28" s="35" t="str">
        <f>IF(B28&gt;'User input'!F$24,"",C28*T28)</f>
        <v/>
      </c>
    </row>
    <row r="29" spans="2:21" customFormat="1" ht="14.1" customHeight="1" x14ac:dyDescent="0.2">
      <c r="B29" s="32" t="str">
        <f>IF(B28&gt;='User input'!F$24," ",B28+1)</f>
        <v xml:space="preserve"> </v>
      </c>
      <c r="C29" s="23" t="str">
        <f>IF(B29&gt;'User input'!F$24,"",'User input'!L$35^B29)</f>
        <v/>
      </c>
      <c r="D29" s="32" t="str">
        <f>IF(B29&gt;'User input'!F$24,"",IF(B29=0,'User input'!F$17,D28+1))</f>
        <v/>
      </c>
      <c r="E29" s="34" t="str">
        <f>IF(B29&gt;'User input'!F$24,"",IF(B29=0,'User input'!F$18,E28+'User input'!F$31))</f>
        <v/>
      </c>
      <c r="F29" s="35" t="str">
        <f>IF(B29&gt;'User input'!F$24,"",EXP('User input'!G$14*(D29-'User input'!F$17)+'User input'!H$14*((E29-'User input'!F$18)/100)+'User input'!I$14*(D29-'User input'!F$17)*(E29-'User input'!F$18)/100)*'User input'!F$20*IF(B29=0,1,(1-'User input'!F$76)))</f>
        <v/>
      </c>
      <c r="G29" s="48" t="str">
        <f>IF(B29&gt;'User input'!F$24,"",IF(B29&gt;0,F28*'User input'!L$16,0))</f>
        <v/>
      </c>
      <c r="H29" s="36" t="str">
        <f>IF(B29&gt;'User input'!F$24,"",IF(B29&gt;0,F28-F29,0))</f>
        <v/>
      </c>
      <c r="I29" s="22" t="str">
        <f>IF(B29&gt;'User input'!F$24,"",IF(B29&gt;7,0,IF(SUM(I$11:I28)&lt;1,IF(B29='User input'!F$24,'User input'!F35/2,'User input'!F35),0)))</f>
        <v/>
      </c>
      <c r="J29" s="48" t="str">
        <f>IF(B29&gt;'User input'!F$24,"",IF(B29=0,MIN('User input'!F$19,'User input'!L$20)+'User input'!L$22+'User input'!L$23*I29,'User input'!L$23*I29))</f>
        <v/>
      </c>
      <c r="K29" s="51" t="str">
        <f>IF(B29&gt;'User input'!F$24,"",IF(B29=0,'User input'!F$19-J29,K28-J29))</f>
        <v/>
      </c>
      <c r="L29" s="36" t="str">
        <f>IF(B29&gt;'User input'!F$24,"",IF(B29&gt;0,('User input'!F$19-'User input'!F$21)*'User input'!L$16,0))</f>
        <v/>
      </c>
      <c r="M29" s="35" t="str">
        <f>IF(B29&gt;'User input'!F$24,"",IF(B29='User input'!F$24,'User input'!F$19-'User input'!F$21,0))</f>
        <v/>
      </c>
      <c r="N29" s="35" t="str">
        <f>IF(B29&gt;'User input'!F$24,"",IF(B29=0,'User input'!F$21,IF(B29='User input'!F$24,-F29,0)))</f>
        <v/>
      </c>
      <c r="O29" s="35" t="str">
        <f>IF(B29&gt;'User input'!F$24,"",IF(B29&gt;0,'User input'!F$47*F28,0))</f>
        <v/>
      </c>
      <c r="P29" s="63" t="str">
        <f>IF(B29&gt;'User input'!F$24,"",(IF(E29&gt;'User input'!L$14,(E29-'User input'!L$14)*'User input'!F$45+'User input'!J$14*'User input'!F$22*'User input'!F$77*('User input'!L$14/1000)^'User input'!K$14,'User input'!J$14*'User input'!F$22*'User input'!F$77*(E29/1000)^'User input'!K$14))*'User input'!F$44)</f>
        <v/>
      </c>
      <c r="Q29" s="48" t="str">
        <f>IF(B29&gt;'User input'!F$24,"",IF(B29&gt;0,(P29-P28),0))</f>
        <v/>
      </c>
      <c r="R29" s="64" t="str">
        <f>IF(B29&gt;'User input'!F$24,"",Q29/'User input'!F$30)</f>
        <v/>
      </c>
      <c r="S29" s="48" t="str">
        <f>IF(B29&gt;'User input'!F$24,"",(J29+L29+O29+Q29)*('User input'!L$18+'User input'!L$19)-IF(B29='User input'!F$24,(F29-K29)*'User input'!L$18,0))</f>
        <v/>
      </c>
      <c r="T29" s="48" t="str">
        <f>IF(B29&gt;'User input'!F$24,"",L29+M29+N29+O29+Q29-S29)</f>
        <v/>
      </c>
      <c r="U29" s="35" t="str">
        <f>IF(B29&gt;'User input'!F$24,"",C29*T29)</f>
        <v/>
      </c>
    </row>
    <row r="30" spans="2:21" customFormat="1" ht="14.1" customHeight="1" x14ac:dyDescent="0.2">
      <c r="B30" s="32" t="str">
        <f>IF(B29&gt;='User input'!F$24," ",B29+1)</f>
        <v xml:space="preserve"> </v>
      </c>
      <c r="C30" s="23" t="str">
        <f>IF(B30&gt;'User input'!F$24,"",'User input'!L$35^B30)</f>
        <v/>
      </c>
      <c r="D30" s="32" t="str">
        <f>IF(B30&gt;'User input'!F$24,"",IF(B30=0,'User input'!F$17,D29+1))</f>
        <v/>
      </c>
      <c r="E30" s="34" t="str">
        <f>IF(B30&gt;'User input'!F$24,"",IF(B30=0,'User input'!F$18,E29+'User input'!F$31))</f>
        <v/>
      </c>
      <c r="F30" s="35" t="str">
        <f>IF(B30&gt;'User input'!F$24,"",EXP('User input'!G$14*(D30-'User input'!F$17)+'User input'!H$14*((E30-'User input'!F$18)/100)+'User input'!I$14*(D30-'User input'!F$17)*(E30-'User input'!F$18)/100)*'User input'!F$20*IF(B30=0,1,(1-'User input'!F$76)))</f>
        <v/>
      </c>
      <c r="G30" s="48" t="str">
        <f>IF(B30&gt;'User input'!F$24,"",IF(B30&gt;0,F29*'User input'!L$16,0))</f>
        <v/>
      </c>
      <c r="H30" s="36" t="str">
        <f>IF(B30&gt;'User input'!F$24,"",IF(B30&gt;0,F29-F30,0))</f>
        <v/>
      </c>
      <c r="I30" s="22" t="str">
        <f>IF(B30&gt;'User input'!F$24,"",IF(B30&gt;7,0,IF(SUM(I$11:I29)&lt;1,IF(B30='User input'!F$24,'User input'!F36/2,'User input'!F36),0)))</f>
        <v/>
      </c>
      <c r="J30" s="48" t="str">
        <f>IF(B30&gt;'User input'!F$24,"",IF(B30=0,MIN('User input'!F$19,'User input'!L$20)+'User input'!L$22+'User input'!L$23*I30,'User input'!L$23*I30))</f>
        <v/>
      </c>
      <c r="K30" s="51" t="str">
        <f>IF(B30&gt;'User input'!F$24,"",IF(B30=0,'User input'!F$19-J30,K29-J30))</f>
        <v/>
      </c>
      <c r="L30" s="36" t="str">
        <f>IF(B30&gt;'User input'!F$24,"",IF(B30&gt;0,('User input'!F$19-'User input'!F$21)*'User input'!L$16,0))</f>
        <v/>
      </c>
      <c r="M30" s="35" t="str">
        <f>IF(B30&gt;'User input'!F$24,"",IF(B30='User input'!F$24,'User input'!F$19-'User input'!F$21,0))</f>
        <v/>
      </c>
      <c r="N30" s="35" t="str">
        <f>IF(B30&gt;'User input'!F$24,"",IF(B30=0,'User input'!F$21,IF(B30='User input'!F$24,-F30,0)))</f>
        <v/>
      </c>
      <c r="O30" s="35" t="str">
        <f>IF(B30&gt;'User input'!F$24,"",IF(B30&gt;0,'User input'!F$47*F29,0))</f>
        <v/>
      </c>
      <c r="P30" s="63" t="str">
        <f>IF(B30&gt;'User input'!F$24,"",(IF(E30&gt;'User input'!L$14,(E30-'User input'!L$14)*'User input'!F$45+'User input'!J$14*'User input'!F$22*'User input'!F$77*('User input'!L$14/1000)^'User input'!K$14,'User input'!J$14*'User input'!F$22*'User input'!F$77*(E30/1000)^'User input'!K$14))*'User input'!F$44)</f>
        <v/>
      </c>
      <c r="Q30" s="48" t="str">
        <f>IF(B30&gt;'User input'!F$24,"",IF(B30&gt;0,(P30-P29),0))</f>
        <v/>
      </c>
      <c r="R30" s="64" t="str">
        <f>IF(B30&gt;'User input'!F$24,"",Q30/'User input'!F$30)</f>
        <v/>
      </c>
      <c r="S30" s="48" t="str">
        <f>IF(B30&gt;'User input'!F$24,"",(J30+L30+O30+Q30)*('User input'!L$18+'User input'!L$19)-IF(B30='User input'!F$24,(F30-K30)*'User input'!L$18,0))</f>
        <v/>
      </c>
      <c r="T30" s="48" t="str">
        <f>IF(B30&gt;'User input'!F$24,"",L30+M30+N30+O30+Q30-S30)</f>
        <v/>
      </c>
      <c r="U30" s="35" t="str">
        <f>IF(B30&gt;'User input'!F$24,"",C30*T30)</f>
        <v/>
      </c>
    </row>
    <row r="31" spans="2:21" customFormat="1" ht="14.1" customHeight="1" x14ac:dyDescent="0.2">
      <c r="B31" s="32" t="str">
        <f>IF(B30&gt;='User input'!F$24," ",B30+1)</f>
        <v xml:space="preserve"> </v>
      </c>
      <c r="C31" s="23" t="str">
        <f>IF(B31&gt;'User input'!F$24,"",'User input'!L$35^B31)</f>
        <v/>
      </c>
      <c r="D31" s="32" t="str">
        <f>IF(B31&gt;'User input'!F$24,"",IF(B31=0,'User input'!F$17,D30+1))</f>
        <v/>
      </c>
      <c r="E31" s="34" t="str">
        <f>IF(B31&gt;'User input'!F$24,"",IF(B31=0,'User input'!F$18,E30+'User input'!F$31))</f>
        <v/>
      </c>
      <c r="F31" s="35" t="str">
        <f>IF(B31&gt;'User input'!F$24,"",EXP('User input'!G$14*(D31-'User input'!F$17)+'User input'!H$14*((E31-'User input'!F$18)/100)+'User input'!I$14*(D31-'User input'!F$17)*(E31-'User input'!F$18)/100)*'User input'!F$20*IF(B31=0,1,(1-'User input'!F$76)))</f>
        <v/>
      </c>
      <c r="G31" s="48" t="str">
        <f>IF(B31&gt;'User input'!F$24,"",IF(B31&gt;0,F30*'User input'!L$16,0))</f>
        <v/>
      </c>
      <c r="H31" s="36" t="str">
        <f>IF(B31&gt;'User input'!F$24,"",IF(B31&gt;0,F30-F31,0))</f>
        <v/>
      </c>
      <c r="I31" s="22" t="str">
        <f>IF(B31&gt;'User input'!F$24,"",IF(B31&gt;7,0,IF(SUM(I$11:I30)&lt;1,IF(B31='User input'!F$24,'User input'!#REF!/2,'User input'!#REF!),0)))</f>
        <v/>
      </c>
      <c r="J31" s="48" t="str">
        <f>IF(B31&gt;'User input'!F$24,"",IF(B31=0,MIN('User input'!F$19,'User input'!L$20)+'User input'!L$22+'User input'!L$23*I31,'User input'!L$23*I31))</f>
        <v/>
      </c>
      <c r="K31" s="51" t="str">
        <f>IF(B31&gt;'User input'!F$24,"",IF(B31=0,'User input'!F$19-J31,K30-J31))</f>
        <v/>
      </c>
      <c r="L31" s="36" t="str">
        <f>IF(B31&gt;'User input'!F$24,"",IF(B31&gt;0,('User input'!F$19-'User input'!F$21)*'User input'!L$16,0))</f>
        <v/>
      </c>
      <c r="M31" s="35" t="str">
        <f>IF(B31&gt;'User input'!F$24,"",IF(B31='User input'!F$24,'User input'!F$19-'User input'!F$21,0))</f>
        <v/>
      </c>
      <c r="N31" s="35" t="str">
        <f>IF(B31&gt;'User input'!F$24,"",IF(B31=0,'User input'!F$21,IF(B31='User input'!F$24,-F31,0)))</f>
        <v/>
      </c>
      <c r="O31" s="35" t="str">
        <f>IF(B31&gt;'User input'!F$24,"",IF(B31&gt;0,'User input'!F$47*F30,0))</f>
        <v/>
      </c>
      <c r="P31" s="63" t="str">
        <f>IF(B31&gt;'User input'!F$24,"",(IF(E31&gt;'User input'!L$14,(E31-'User input'!L$14)*'User input'!F$45+'User input'!J$14*'User input'!F$22*'User input'!F$77*('User input'!L$14/1000)^'User input'!K$14,'User input'!J$14*'User input'!F$22*'User input'!F$77*(E31/1000)^'User input'!K$14))*'User input'!F$44)</f>
        <v/>
      </c>
      <c r="Q31" s="48" t="str">
        <f>IF(B31&gt;'User input'!F$24,"",IF(B31&gt;0,(P31-P30),0))</f>
        <v/>
      </c>
      <c r="R31" s="64" t="str">
        <f>IF(B31&gt;'User input'!F$24,"",Q31/'User input'!F$30)</f>
        <v/>
      </c>
      <c r="S31" s="48" t="str">
        <f>IF(B31&gt;'User input'!F$24,"",(J31+L31+O31+Q31)*('User input'!L$18+'User input'!L$19)-IF(B31='User input'!F$24,(F31-K31)*'User input'!L$18,0))</f>
        <v/>
      </c>
      <c r="T31" s="48" t="str">
        <f>IF(B31&gt;'User input'!F$24,"",L31+M31+N31+O31+Q31-S31)</f>
        <v/>
      </c>
      <c r="U31" s="35" t="str">
        <f>IF(B31&gt;'User input'!F$24,"",C31*T31)</f>
        <v/>
      </c>
    </row>
    <row r="32" spans="2:21" customFormat="1" ht="14.1" customHeight="1" x14ac:dyDescent="0.2">
      <c r="B32" s="32" t="str">
        <f>IF(B31&gt;='User input'!F$24," ",B31+1)</f>
        <v xml:space="preserve"> </v>
      </c>
      <c r="C32" s="23" t="str">
        <f>IF(B32&gt;'User input'!F$24,"",'User input'!L$35^B32)</f>
        <v/>
      </c>
      <c r="D32" s="32" t="str">
        <f>IF(B32&gt;'User input'!F$24,"",IF(B32=0,'User input'!F$17,D31+1))</f>
        <v/>
      </c>
      <c r="E32" s="34" t="str">
        <f>IF(B32&gt;'User input'!F$24,"",IF(B32=0,'User input'!F$18,E31+'User input'!F$31))</f>
        <v/>
      </c>
      <c r="F32" s="35" t="str">
        <f>IF(B32&gt;'User input'!F$24,"",EXP('User input'!G$14*(D32-'User input'!F$17)+'User input'!H$14*((E32-'User input'!F$18)/100)+'User input'!I$14*(D32-'User input'!F$17)*(E32-'User input'!F$18)/100)*'User input'!F$20*IF(B32=0,1,(1-'User input'!F$76)))</f>
        <v/>
      </c>
      <c r="G32" s="48" t="str">
        <f>IF(B32&gt;'User input'!F$24,"",IF(B32&gt;0,F31*'User input'!L$16,0))</f>
        <v/>
      </c>
      <c r="H32" s="36" t="str">
        <f>IF(B32&gt;'User input'!F$24,"",IF(B32&gt;0,F31-F32,0))</f>
        <v/>
      </c>
      <c r="I32" s="22" t="str">
        <f>IF(B32&gt;'User input'!F$24,"",IF(B32&gt;7,0,IF(SUM(I$11:I31)&lt;1,IF(B32='User input'!F$24,'User input'!L37/2,'User input'!L37),0)))</f>
        <v/>
      </c>
      <c r="J32" s="48" t="str">
        <f>IF(B32&gt;'User input'!F$24,"",IF(B32=0,MIN('User input'!F$19,'User input'!L$20)+'User input'!L$22+'User input'!L$23*I32,'User input'!L$23*I32))</f>
        <v/>
      </c>
      <c r="K32" s="51" t="str">
        <f>IF(B32&gt;'User input'!F$24,"",IF(B32=0,'User input'!F$19-J32,K31-J32))</f>
        <v/>
      </c>
      <c r="L32" s="36" t="str">
        <f>IF(B32&gt;'User input'!F$24,"",IF(B32&gt;0,('User input'!F$19-'User input'!F$21)*'User input'!L$16,0))</f>
        <v/>
      </c>
      <c r="M32" s="35" t="str">
        <f>IF(B32&gt;'User input'!F$24,"",IF(B32='User input'!F$24,'User input'!F$19-'User input'!F$21,0))</f>
        <v/>
      </c>
      <c r="N32" s="35" t="str">
        <f>IF(B32&gt;'User input'!F$24,"",IF(B32=0,'User input'!F$21,IF(B32='User input'!F$24,-F32,0)))</f>
        <v/>
      </c>
      <c r="O32" s="35" t="str">
        <f>IF(B32&gt;'User input'!F$24,"",IF(B32&gt;0,'User input'!F$47*F31,0))</f>
        <v/>
      </c>
      <c r="P32" s="63" t="str">
        <f>IF(B32&gt;'User input'!F$24,"",(IF(E32&gt;'User input'!L$14,(E32-'User input'!L$14)*'User input'!F$45+'User input'!J$14*'User input'!F$22*'User input'!F$77*('User input'!L$14/1000)^'User input'!K$14,'User input'!J$14*'User input'!F$22*'User input'!F$77*(E32/1000)^'User input'!K$14))*'User input'!F$44)</f>
        <v/>
      </c>
      <c r="Q32" s="48" t="str">
        <f>IF(B32&gt;'User input'!F$24,"",IF(B32&gt;0,(P32-P31),0))</f>
        <v/>
      </c>
      <c r="R32" s="64" t="str">
        <f>IF(B32&gt;'User input'!F$24,"",Q32/'User input'!F$30)</f>
        <v/>
      </c>
      <c r="S32" s="48" t="str">
        <f>IF(B32&gt;'User input'!F$24,"",(J32+L32+O32+Q32)*('User input'!L$18+'User input'!L$19)-IF(B32='User input'!F$24,(F32-K32)*'User input'!L$18,0))</f>
        <v/>
      </c>
      <c r="T32" s="48" t="str">
        <f>IF(B32&gt;'User input'!F$24,"",L32+M32+N32+O32+Q32-S32)</f>
        <v/>
      </c>
      <c r="U32" s="35" t="str">
        <f>IF(B32&gt;'User input'!F$24,"",C32*T32)</f>
        <v/>
      </c>
    </row>
    <row r="33" spans="1:21" ht="14.1" customHeight="1" thickBot="1" x14ac:dyDescent="0.25">
      <c r="B33" s="38"/>
      <c r="C33" s="3"/>
      <c r="D33" s="38"/>
      <c r="E33" s="3"/>
      <c r="F33" s="3"/>
      <c r="G33" s="39"/>
      <c r="H33" s="39"/>
      <c r="I33" s="3"/>
      <c r="J33" s="39"/>
      <c r="K33" s="39"/>
      <c r="L33" s="39"/>
      <c r="M33" s="39"/>
      <c r="N33" s="39"/>
      <c r="O33" s="39"/>
      <c r="P33" s="39"/>
      <c r="Q33" s="39"/>
      <c r="R33" s="40"/>
      <c r="S33" s="39"/>
      <c r="T33" s="39"/>
      <c r="U33" s="39"/>
    </row>
    <row r="34" spans="1:21" ht="14.1" customHeight="1" x14ac:dyDescent="0.2">
      <c r="B34" s="13"/>
      <c r="C34" s="13"/>
      <c r="D34" s="13"/>
      <c r="E34" s="13"/>
      <c r="F34" s="13"/>
      <c r="G34" s="13"/>
      <c r="H34" s="13"/>
      <c r="I34" s="41"/>
      <c r="J34" s="13"/>
      <c r="K34" s="13"/>
      <c r="L34" s="13"/>
      <c r="M34" s="13"/>
      <c r="N34" s="13"/>
      <c r="O34" s="13"/>
      <c r="P34" s="13"/>
      <c r="Q34" s="13"/>
      <c r="R34" s="13"/>
      <c r="S34" s="13"/>
      <c r="T34" s="13"/>
      <c r="U34" s="13"/>
    </row>
    <row r="35" spans="1:21" ht="14.1" customHeight="1" x14ac:dyDescent="0.2">
      <c r="B35" s="10" t="s">
        <v>69</v>
      </c>
      <c r="I35" s="9" t="str">
        <f>IF(OR('User input'!L33&gt;1.01,'User input'!L33&lt;0.99),"Total depreciation rate should add to 100%"," ")</f>
        <v xml:space="preserve"> </v>
      </c>
    </row>
    <row r="36" spans="1:21" ht="14.1" customHeight="1" x14ac:dyDescent="0.2">
      <c r="B36" s="10" t="s">
        <v>78</v>
      </c>
      <c r="H36" s="42"/>
      <c r="I36" s="9" t="str">
        <f>IF(OR('User input'!L33&gt;1.01,'User input'!L33&lt;0.99),"Go back to User Input tab and check entered values!"," ")</f>
        <v xml:space="preserve"> </v>
      </c>
    </row>
    <row r="39" spans="1:21" ht="14.1" customHeight="1" x14ac:dyDescent="0.2">
      <c r="A39" s="11"/>
    </row>
    <row r="40" spans="1:21" ht="14.1" customHeight="1" x14ac:dyDescent="0.2">
      <c r="A40" s="11"/>
    </row>
    <row r="48" spans="1:21" ht="14.1" customHeight="1" x14ac:dyDescent="0.2">
      <c r="A48" s="11"/>
    </row>
    <row r="65" spans="1:1" ht="14.1" customHeight="1" x14ac:dyDescent="0.2">
      <c r="A65" s="11"/>
    </row>
  </sheetData>
  <sheetProtection algorithmName="SHA-512" hashValue="NCSrAU09bHmPW5A8sDVQ0OlpcZEhI1+Zb0A5Bov7jAOMD/PYUpJ4lFhaX65zh7km3NAPvs9EjdpGr/IRNf3aug==" saltValue="GfaTnnw864zeph8Ht+4vJQ==" spinCount="100000" sheet="1" objects="1" scenarios="1"/>
  <phoneticPr fontId="0" type="noConversion"/>
  <pageMargins left="0.5" right="0.5" top="1" bottom="1" header="0.5" footer="0.5"/>
  <pageSetup scale="51" orientation="landscape" r:id="rId1"/>
  <headerFooter alignWithMargins="0">
    <oddFooter>&amp;C&amp;10OwnSpray.xls -- Developed by Terry Kastens and Kevin Dhuyvetter
Extension Agricultural Economists, Kansas State University
&amp;R&amp;10Time and tax page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Print2">
                <anchor moveWithCells="1" sizeWithCells="1">
                  <from>
                    <xdr:col>1</xdr:col>
                    <xdr:colOff>190500</xdr:colOff>
                    <xdr:row>2</xdr:row>
                    <xdr:rowOff>66675</xdr:rowOff>
                  </from>
                  <to>
                    <xdr:col>2</xdr:col>
                    <xdr:colOff>419100</xdr:colOff>
                    <xdr:row>3</xdr:row>
                    <xdr:rowOff>123825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K63"/>
  <sheetViews>
    <sheetView showOutlineSymbols="0" zoomScale="87" zoomScaleNormal="87" workbookViewId="0"/>
  </sheetViews>
  <sheetFormatPr defaultColWidth="9.6640625" defaultRowHeight="14.1" customHeight="1" x14ac:dyDescent="0.2"/>
  <cols>
    <col min="1" max="1" width="8.77734375" style="1" customWidth="1"/>
    <col min="2" max="245" width="9.6640625" style="1" customWidth="1"/>
    <col min="246" max="16384" width="9.6640625" style="10"/>
  </cols>
  <sheetData>
    <row r="1" spans="2:245" ht="14.1" customHeight="1" x14ac:dyDescent="0.2">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row>
    <row r="2" spans="2:245" ht="14.1" customHeight="1" thickBot="1" x14ac:dyDescent="0.25">
      <c r="B2" s="2" t="s">
        <v>40</v>
      </c>
      <c r="C2" s="3"/>
      <c r="D2" s="3"/>
      <c r="E2" s="3"/>
      <c r="F2" s="3"/>
      <c r="G2" s="3"/>
      <c r="H2" s="3"/>
      <c r="I2" s="11"/>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row>
    <row r="3" spans="2:245" ht="14.1" customHeight="1" x14ac:dyDescent="0.2">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row>
    <row r="4" spans="2:245" ht="14.1" customHeight="1" x14ac:dyDescent="0.2">
      <c r="B4" s="1" t="s">
        <v>41</v>
      </c>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row>
    <row r="5" spans="2:245" ht="14.1" customHeight="1" x14ac:dyDescent="0.2">
      <c r="B5" s="1" t="s">
        <v>42</v>
      </c>
      <c r="E5" s="6">
        <f>'User input'!F19</f>
        <v>200000</v>
      </c>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row>
    <row r="6" spans="2:245" ht="14.1" customHeight="1" x14ac:dyDescent="0.2">
      <c r="B6" s="1" t="s">
        <v>82</v>
      </c>
      <c r="E6" s="1">
        <f>'User input'!F17</f>
        <v>0</v>
      </c>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row>
    <row r="7" spans="2:245" ht="14.1" customHeight="1" x14ac:dyDescent="0.2">
      <c r="B7" s="1" t="s">
        <v>83</v>
      </c>
      <c r="E7" s="1">
        <f>'User input'!F18</f>
        <v>0</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row>
    <row r="8" spans="2:245" ht="14.1" customHeight="1" x14ac:dyDescent="0.2">
      <c r="B8" s="1" t="s">
        <v>43</v>
      </c>
      <c r="E8" s="37">
        <f>'User input'!F30</f>
        <v>50000</v>
      </c>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row>
    <row r="9" spans="2:245" ht="14.1" customHeight="1" x14ac:dyDescent="0.2">
      <c r="B9" s="1" t="s">
        <v>44</v>
      </c>
      <c r="E9" s="46">
        <f>'User input'!F31</f>
        <v>1083.5303388494879</v>
      </c>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row>
    <row r="10" spans="2:245" ht="14.1" customHeight="1" x14ac:dyDescent="0.2">
      <c r="B10" s="1" t="s">
        <v>45</v>
      </c>
      <c r="E10" s="1">
        <f>'User input'!F24</f>
        <v>7</v>
      </c>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row>
    <row r="11" spans="2:245" ht="14.1" customHeight="1" x14ac:dyDescent="0.2">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row>
    <row r="12" spans="2:245" ht="14.1" customHeight="1" x14ac:dyDescent="0.2">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row>
    <row r="13" spans="2:245" ht="14.1" customHeight="1" x14ac:dyDescent="0.2">
      <c r="B13" s="1" t="s">
        <v>46</v>
      </c>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row>
    <row r="14" spans="2:245" ht="14.1" customHeight="1" x14ac:dyDescent="0.2">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row>
    <row r="15" spans="2:245" ht="14.1" customHeight="1" x14ac:dyDescent="0.2">
      <c r="E15" s="43" t="s">
        <v>57</v>
      </c>
      <c r="F15" s="43" t="s">
        <v>59</v>
      </c>
      <c r="G15" s="43" t="s">
        <v>60</v>
      </c>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row>
    <row r="16" spans="2:245" ht="14.1" customHeight="1" x14ac:dyDescent="0.2">
      <c r="B16" s="1" t="s">
        <v>47</v>
      </c>
      <c r="E16" s="6">
        <f>'User input'!L44</f>
        <v>5731.5220838646583</v>
      </c>
      <c r="F16" s="21">
        <f t="shared" ref="F16:F21" si="0">E16/E$9</f>
        <v>5.2896738359449094</v>
      </c>
      <c r="G16" s="21">
        <f t="shared" ref="G16:G21" si="1">E16/E$8</f>
        <v>0.11463044167729317</v>
      </c>
      <c r="H16" s="10"/>
      <c r="I16" s="25"/>
      <c r="J16" s="25"/>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row>
    <row r="17" spans="2:245" ht="14.1" customHeight="1" x14ac:dyDescent="0.2">
      <c r="B17" s="1" t="s">
        <v>48</v>
      </c>
      <c r="E17" s="6">
        <f>'User input'!L45</f>
        <v>22118.159487297904</v>
      </c>
      <c r="F17" s="21">
        <f t="shared" si="0"/>
        <v>20.413050465004392</v>
      </c>
      <c r="G17" s="21">
        <f t="shared" si="1"/>
        <v>0.44236318974595806</v>
      </c>
      <c r="H17" s="10"/>
      <c r="I17" s="25"/>
      <c r="J17" s="25"/>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row>
    <row r="18" spans="2:245" ht="14.1" customHeight="1" x14ac:dyDescent="0.2">
      <c r="B18" s="1" t="s">
        <v>49</v>
      </c>
      <c r="E18" s="6">
        <f>'User input'!L46</f>
        <v>59530.789972877385</v>
      </c>
      <c r="F18" s="21">
        <f t="shared" si="0"/>
        <v>54.941507254968286</v>
      </c>
      <c r="G18" s="21">
        <f t="shared" si="1"/>
        <v>1.1906157994575477</v>
      </c>
      <c r="H18" s="10"/>
      <c r="I18" s="25"/>
      <c r="J18" s="25"/>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row>
    <row r="19" spans="2:245" ht="14.1" customHeight="1" x14ac:dyDescent="0.2">
      <c r="B19" s="1" t="s">
        <v>50</v>
      </c>
      <c r="E19" s="6">
        <f>'User input'!F35*'User input'!F34*E9</f>
        <v>20316.193853427896</v>
      </c>
      <c r="F19" s="21">
        <f t="shared" si="0"/>
        <v>18.75</v>
      </c>
      <c r="G19" s="21">
        <f t="shared" si="1"/>
        <v>0.40632387706855794</v>
      </c>
      <c r="H19" s="10"/>
      <c r="I19" s="25"/>
      <c r="J19" s="25"/>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row>
    <row r="20" spans="2:245" ht="14.1" customHeight="1" x14ac:dyDescent="0.2">
      <c r="B20" s="1" t="s">
        <v>51</v>
      </c>
      <c r="E20" s="6">
        <f>'User input'!F41*E9</f>
        <v>26817.375886524827</v>
      </c>
      <c r="F20" s="21">
        <f t="shared" si="0"/>
        <v>24.750000000000004</v>
      </c>
      <c r="G20" s="21">
        <f t="shared" si="1"/>
        <v>0.53634751773049649</v>
      </c>
      <c r="H20" s="10"/>
      <c r="I20" s="25"/>
      <c r="J20" s="25"/>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row>
    <row r="21" spans="2:245" ht="14.1" customHeight="1" x14ac:dyDescent="0.2">
      <c r="B21" s="1" t="s">
        <v>52</v>
      </c>
      <c r="E21" s="6">
        <f>'User input'!L47</f>
        <v>1719.4566251593974</v>
      </c>
      <c r="F21" s="21">
        <f t="shared" si="0"/>
        <v>1.5869021507834729</v>
      </c>
      <c r="G21" s="21">
        <f t="shared" si="1"/>
        <v>3.4389132503187946E-2</v>
      </c>
      <c r="H21" s="10"/>
      <c r="I21" s="25"/>
      <c r="J21" s="25"/>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row>
    <row r="22" spans="2:245" ht="14.1" customHeight="1" x14ac:dyDescent="0.2">
      <c r="E22" s="44"/>
      <c r="H22" s="10"/>
      <c r="I22" s="25"/>
      <c r="J22" s="25"/>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row>
    <row r="23" spans="2:245" ht="14.1" customHeight="1" x14ac:dyDescent="0.2">
      <c r="B23" s="1" t="s">
        <v>53</v>
      </c>
      <c r="E23" s="6">
        <f>SUM(E16:E21)</f>
        <v>136233.49790915207</v>
      </c>
      <c r="F23" s="21">
        <f>SUM(F16:F21)</f>
        <v>125.73113370670106</v>
      </c>
      <c r="G23" s="21">
        <f>SUM(G16:G21)</f>
        <v>2.7246699581830409</v>
      </c>
      <c r="H23" s="10"/>
      <c r="I23" s="25"/>
      <c r="J23" s="25"/>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row>
    <row r="24" spans="2:245" ht="14.1" customHeight="1" x14ac:dyDescent="0.2">
      <c r="E24" s="44"/>
      <c r="H24" s="10"/>
      <c r="I24" s="25"/>
      <c r="J24" s="25"/>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row>
    <row r="25" spans="2:245" ht="14.1" customHeight="1" x14ac:dyDescent="0.2">
      <c r="B25" s="1" t="s">
        <v>54</v>
      </c>
      <c r="E25" s="6">
        <f>'User input'!L39*E8</f>
        <v>73002.364066193841</v>
      </c>
      <c r="F25" s="21">
        <f>E25/E$9</f>
        <v>67.374545454545441</v>
      </c>
      <c r="G25" s="21">
        <f>E25/E$8</f>
        <v>1.4600472813238767</v>
      </c>
      <c r="H25" s="10"/>
      <c r="I25" s="25"/>
      <c r="J25" s="25"/>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row>
    <row r="26" spans="2:245" ht="14.1" customHeight="1" x14ac:dyDescent="0.2">
      <c r="E26" s="44"/>
      <c r="H26" s="10"/>
      <c r="I26" s="25"/>
      <c r="J26" s="25"/>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row>
    <row r="27" spans="2:245" ht="14.1" customHeight="1" x14ac:dyDescent="0.2">
      <c r="B27" s="1" t="s">
        <v>55</v>
      </c>
      <c r="E27" s="6">
        <f>E23+E25</f>
        <v>209235.86197534591</v>
      </c>
      <c r="F27" s="21">
        <f>F23+F25</f>
        <v>193.10567916124648</v>
      </c>
      <c r="G27" s="21">
        <f>G23+G25</f>
        <v>4.1847172395069174</v>
      </c>
      <c r="H27" s="11"/>
      <c r="I27" s="25"/>
      <c r="J27" s="25"/>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row>
    <row r="28" spans="2:245" ht="14.1" customHeight="1" thickBot="1" x14ac:dyDescent="0.25">
      <c r="B28" s="45"/>
      <c r="C28" s="45"/>
      <c r="D28" s="45"/>
      <c r="E28" s="45"/>
      <c r="F28" s="45"/>
      <c r="G28" s="45"/>
      <c r="H28" s="45"/>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row>
    <row r="29" spans="2:245" ht="14.1" customHeight="1" x14ac:dyDescent="0.2">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row>
    <row r="30" spans="2:245" ht="14.1" customHeight="1" x14ac:dyDescent="0.2">
      <c r="B30" s="1" t="s">
        <v>84</v>
      </c>
      <c r="D30" s="7">
        <f ca="1">NOW()</f>
        <v>42558.592047685182</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row>
    <row r="31" spans="2:245" ht="14.1" customHeight="1" x14ac:dyDescent="0.2">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row>
    <row r="32" spans="2:245" ht="14.1" customHeight="1" x14ac:dyDescent="0.2">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row>
    <row r="33" spans="1:245" ht="14.1" customHeight="1" x14ac:dyDescent="0.2">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row>
    <row r="34" spans="1:245" ht="14.1" customHeight="1" x14ac:dyDescent="0.2">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row>
    <row r="35" spans="1:245" ht="14.1" customHeight="1" x14ac:dyDescent="0.2">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row>
    <row r="36" spans="1:245" ht="14.1" customHeight="1" x14ac:dyDescent="0.2">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row>
    <row r="37" spans="1:245" ht="14.1" customHeight="1" x14ac:dyDescent="0.2">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row>
    <row r="38" spans="1:245" ht="14.1" customHeight="1" x14ac:dyDescent="0.2">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row>
    <row r="39" spans="1:245" ht="14.1" customHeight="1" x14ac:dyDescent="0.2">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row>
    <row r="40" spans="1:245" ht="14.1" customHeight="1" x14ac:dyDescent="0.2">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row>
    <row r="41" spans="1:245" ht="14.1" customHeight="1" x14ac:dyDescent="0.2">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row>
    <row r="42" spans="1:245" ht="14.1" customHeight="1" x14ac:dyDescent="0.2">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row>
    <row r="43" spans="1:245" ht="14.1" customHeight="1" x14ac:dyDescent="0.2">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row>
    <row r="44" spans="1:245" ht="14.1" customHeight="1" x14ac:dyDescent="0.2">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row>
    <row r="45" spans="1:245" ht="14.1" customHeight="1" x14ac:dyDescent="0.2">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row>
    <row r="46" spans="1:245" ht="14.1" customHeight="1" x14ac:dyDescent="0.2">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row>
    <row r="47" spans="1:245" ht="14.1" customHeight="1" x14ac:dyDescent="0.2">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row>
    <row r="48" spans="1:245" ht="14.1" customHeight="1" x14ac:dyDescent="0.2">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row>
    <row r="49" spans="1:245" ht="14.1" customHeight="1" x14ac:dyDescent="0.2">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row>
    <row r="50" spans="1:245" ht="14.1" customHeight="1"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row>
    <row r="51" spans="1:245" ht="14.1" customHeight="1" x14ac:dyDescent="0.2">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row>
    <row r="52" spans="1:245" ht="14.1" customHeight="1" x14ac:dyDescent="0.2">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c r="IC52" s="10"/>
      <c r="ID52" s="10"/>
      <c r="IE52" s="10"/>
      <c r="IF52" s="10"/>
      <c r="IG52" s="10"/>
      <c r="IH52" s="10"/>
      <c r="II52" s="10"/>
      <c r="IJ52" s="10"/>
      <c r="IK52" s="10"/>
    </row>
    <row r="53" spans="1:245" ht="14.1" customHeight="1" x14ac:dyDescent="0.2">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c r="IC53" s="10"/>
      <c r="ID53" s="10"/>
      <c r="IE53" s="10"/>
      <c r="IF53" s="10"/>
      <c r="IG53" s="10"/>
      <c r="IH53" s="10"/>
      <c r="II53" s="10"/>
      <c r="IJ53" s="10"/>
      <c r="IK53" s="10"/>
    </row>
    <row r="54" spans="1:245" ht="14.1"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row>
    <row r="55" spans="1:245" ht="14.1" customHeight="1" x14ac:dyDescent="0.2">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row>
    <row r="56" spans="1:245" ht="14.1" customHeight="1" x14ac:dyDescent="0.2">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row>
    <row r="57" spans="1:245" ht="14.1" customHeight="1" x14ac:dyDescent="0.2">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row>
    <row r="58" spans="1:245" ht="14.1" customHeight="1" x14ac:dyDescent="0.2">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row>
    <row r="59" spans="1:245" ht="14.1" customHeight="1" x14ac:dyDescent="0.2">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row>
    <row r="60" spans="1:245" ht="14.1" customHeight="1" x14ac:dyDescent="0.2">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row>
    <row r="61" spans="1:245" ht="14.1"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row>
    <row r="63" spans="1:245" ht="14.1"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c r="IC63" s="10"/>
      <c r="ID63" s="10"/>
      <c r="IE63" s="10"/>
      <c r="IF63" s="10"/>
      <c r="IG63" s="10"/>
      <c r="IH63" s="10"/>
      <c r="II63" s="10"/>
      <c r="IJ63" s="10"/>
      <c r="IK63" s="10"/>
    </row>
  </sheetData>
  <sheetProtection algorithmName="SHA-512" hashValue="vbYqTjeopIL8U5nMziUF8AOqob003U7dw0hpyOMuNrsDMJCe6ROmcqSCrGQC6aQetIBiW25arZZmsk+6wBGcpQ==" saltValue="HARezhGZGVDqbfADOvUAlg==" spinCount="100000" sheet="1" objects="1" scenarios="1"/>
  <phoneticPr fontId="0" type="noConversion"/>
  <pageMargins left="0.75" right="0.75" top="1" bottom="1" header="0" footer="0.5"/>
  <pageSetup orientation="portrait" r:id="rId1"/>
  <headerFooter alignWithMargins="0">
    <oddFooter>&amp;C&amp;10OwnSpray.xls -- Developed by Terry Kastens and Kevin Dhuyvetter
Extension Agricultural Economists, Kansas State University
&amp;R&amp;10Analysis summary page</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Print3">
                <anchor moveWithCells="1" sizeWithCells="1">
                  <from>
                    <xdr:col>7</xdr:col>
                    <xdr:colOff>47625</xdr:colOff>
                    <xdr:row>1</xdr:row>
                    <xdr:rowOff>47625</xdr:rowOff>
                  </from>
                  <to>
                    <xdr:col>7</xdr:col>
                    <xdr:colOff>781050</xdr:colOff>
                    <xdr:row>2</xdr:row>
                    <xdr:rowOff>95250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Introduction</vt:lpstr>
      <vt:lpstr>User input</vt:lpstr>
      <vt:lpstr>Time and tax (TT)</vt:lpstr>
      <vt:lpstr>Analysis summary</vt:lpstr>
      <vt:lpstr>Introduction!Print_Area</vt:lpstr>
    </vt:vector>
  </TitlesOfParts>
  <Company>Kansas State University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OwnSpray</dc:title>
  <dc:creator>Kevin dhuyvetter</dc:creator>
  <dc:description>Password is INT &amp; OFF (6 characters no caps)</dc:description>
  <cp:lastModifiedBy>robinreid</cp:lastModifiedBy>
  <cp:lastPrinted>2005-10-17T22:01:07Z</cp:lastPrinted>
  <dcterms:created xsi:type="dcterms:W3CDTF">2001-09-18T11:55:20Z</dcterms:created>
  <dcterms:modified xsi:type="dcterms:W3CDTF">2016-07-07T19:16:08Z</dcterms:modified>
</cp:coreProperties>
</file>