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C:\Users\robinreid\Documents\Decision Tool Updates\For New AgManager\"/>
    </mc:Choice>
  </mc:AlternateContent>
  <bookViews>
    <workbookView xWindow="360" yWindow="300" windowWidth="14850" windowHeight="9000"/>
  </bookViews>
  <sheets>
    <sheet name="Introduction" sheetId="2" r:id="rId1"/>
    <sheet name="User input" sheetId="1" r:id="rId2"/>
    <sheet name="Time and Tax (TT)" sheetId="3" r:id="rId3"/>
    <sheet name="Analysis summary" sheetId="4" r:id="rId4"/>
    <sheet name="Baler Models" sheetId="6" r:id="rId5"/>
  </sheets>
  <definedNames>
    <definedName name="_xlnm.Print_Area" localSheetId="0">Introduction!$A$1:$L$56</definedName>
  </definedNames>
  <calcPr calcId="152511"/>
</workbook>
</file>

<file path=xl/calcChain.xml><?xml version="1.0" encoding="utf-8"?>
<calcChain xmlns="http://schemas.openxmlformats.org/spreadsheetml/2006/main">
  <c r="H5" i="4" l="1"/>
  <c r="F9" i="4"/>
  <c r="F5" i="4"/>
  <c r="E40" i="4"/>
  <c r="F8" i="4"/>
  <c r="F17" i="4"/>
  <c r="F7" i="4"/>
  <c r="F12" i="4"/>
  <c r="L70" i="1"/>
  <c r="L61" i="1"/>
  <c r="F96" i="2"/>
  <c r="F99" i="2"/>
  <c r="F31" i="1"/>
  <c r="F27" i="1"/>
  <c r="F28" i="1" s="1"/>
  <c r="F32" i="1" s="1"/>
  <c r="F74" i="1"/>
  <c r="L71" i="1"/>
  <c r="L14" i="1"/>
  <c r="N12" i="3"/>
  <c r="B13" i="3"/>
  <c r="N13" i="3"/>
  <c r="B14" i="3"/>
  <c r="B15" i="3"/>
  <c r="G7" i="1"/>
  <c r="G9" i="1"/>
  <c r="D12" i="3"/>
  <c r="D13" i="3"/>
  <c r="D14" i="3"/>
  <c r="H7" i="1"/>
  <c r="H9" i="1" s="1"/>
  <c r="L24" i="1"/>
  <c r="F49" i="1"/>
  <c r="L12" i="3"/>
  <c r="M12" i="3"/>
  <c r="O12" i="3"/>
  <c r="Q12" i="3"/>
  <c r="S12" i="3" s="1"/>
  <c r="T12" i="3" s="1"/>
  <c r="U12" i="3" s="1"/>
  <c r="L31" i="1"/>
  <c r="L32" i="1"/>
  <c r="I12" i="3"/>
  <c r="L13" i="3"/>
  <c r="K7" i="1"/>
  <c r="K9" i="1" s="1"/>
  <c r="I7" i="1"/>
  <c r="I9" i="1" s="1"/>
  <c r="J7" i="1"/>
  <c r="J9" i="1" s="1"/>
  <c r="L14" i="3"/>
  <c r="L96" i="2"/>
  <c r="L99" i="2"/>
  <c r="H111" i="2"/>
  <c r="H112" i="2"/>
  <c r="H113" i="2"/>
  <c r="H114" i="2"/>
  <c r="H115" i="2"/>
  <c r="H117" i="2"/>
  <c r="H118" i="2"/>
  <c r="H119" i="2"/>
  <c r="H120" i="2"/>
  <c r="H12" i="3"/>
  <c r="G12" i="3"/>
  <c r="L41" i="1"/>
  <c r="I36" i="3"/>
  <c r="F69" i="1"/>
  <c r="F65" i="1"/>
  <c r="F66" i="1"/>
  <c r="K8" i="1"/>
  <c r="I8" i="1"/>
  <c r="G8" i="1"/>
  <c r="H8" i="1"/>
  <c r="J8" i="1"/>
  <c r="F26" i="1"/>
  <c r="F9" i="1"/>
  <c r="M14" i="3"/>
  <c r="M13" i="3"/>
  <c r="N14" i="3"/>
  <c r="F68" i="1"/>
  <c r="F70" i="1"/>
  <c r="F67" i="1"/>
  <c r="L15" i="3"/>
  <c r="F50" i="1"/>
  <c r="C12" i="3"/>
  <c r="M39" i="1"/>
  <c r="C13" i="3"/>
  <c r="C14" i="3"/>
  <c r="I35" i="3"/>
  <c r="H42" i="1"/>
  <c r="M15" i="3"/>
  <c r="B16" i="3"/>
  <c r="D15" i="3"/>
  <c r="C15" i="3"/>
  <c r="L62" i="1"/>
  <c r="F60" i="1"/>
  <c r="F29" i="4"/>
  <c r="L63" i="1"/>
  <c r="I13" i="3"/>
  <c r="I14" i="3"/>
  <c r="J14" i="3"/>
  <c r="J12" i="3"/>
  <c r="J13" i="3"/>
  <c r="I15" i="3"/>
  <c r="J15" i="3"/>
  <c r="K12" i="3"/>
  <c r="K13" i="3"/>
  <c r="K14" i="3"/>
  <c r="G29" i="4"/>
  <c r="L16" i="3"/>
  <c r="C16" i="3"/>
  <c r="M16" i="3"/>
  <c r="G16" i="3"/>
  <c r="E16" i="3"/>
  <c r="F16" i="3"/>
  <c r="H16" i="3"/>
  <c r="N16" i="3"/>
  <c r="J16" i="3"/>
  <c r="U16" i="3"/>
  <c r="P16" i="3"/>
  <c r="Q16" i="3"/>
  <c r="R16" i="3"/>
  <c r="D16" i="3"/>
  <c r="I16" i="3"/>
  <c r="O16" i="3"/>
  <c r="K16" i="3"/>
  <c r="B17" i="3"/>
  <c r="S16" i="3"/>
  <c r="T16" i="3"/>
  <c r="K15" i="3"/>
  <c r="L17" i="3"/>
  <c r="K17" i="3"/>
  <c r="N17" i="3"/>
  <c r="E17" i="3"/>
  <c r="S17" i="3"/>
  <c r="U17" i="3"/>
  <c r="G17" i="3"/>
  <c r="C17" i="3"/>
  <c r="J17" i="3"/>
  <c r="B18" i="3"/>
  <c r="O17" i="3"/>
  <c r="F17" i="3"/>
  <c r="R17" i="3"/>
  <c r="T17" i="3"/>
  <c r="I17" i="3"/>
  <c r="H17" i="3"/>
  <c r="P17" i="3"/>
  <c r="Q17" i="3"/>
  <c r="M17" i="3"/>
  <c r="D17" i="3"/>
  <c r="R18" i="3"/>
  <c r="F18" i="3"/>
  <c r="D18" i="3"/>
  <c r="M18" i="3"/>
  <c r="U18" i="3"/>
  <c r="G18" i="3"/>
  <c r="I18" i="3"/>
  <c r="K18" i="3"/>
  <c r="J18" i="3"/>
  <c r="Q18" i="3"/>
  <c r="B19" i="3"/>
  <c r="P18" i="3"/>
  <c r="S18" i="3"/>
  <c r="L18" i="3"/>
  <c r="C18" i="3"/>
  <c r="N18" i="3"/>
  <c r="H18" i="3"/>
  <c r="E18" i="3"/>
  <c r="O18" i="3"/>
  <c r="T18" i="3"/>
  <c r="J19" i="3"/>
  <c r="O19" i="3"/>
  <c r="R19" i="3"/>
  <c r="I19" i="3"/>
  <c r="T19" i="3"/>
  <c r="H19" i="3"/>
  <c r="B20" i="3"/>
  <c r="S19" i="3"/>
  <c r="M19" i="3"/>
  <c r="L19" i="3"/>
  <c r="D19" i="3"/>
  <c r="U19" i="3"/>
  <c r="F19" i="3"/>
  <c r="Q19" i="3"/>
  <c r="E19" i="3"/>
  <c r="G19" i="3"/>
  <c r="K19" i="3"/>
  <c r="N19" i="3"/>
  <c r="P19" i="3"/>
  <c r="C19" i="3"/>
  <c r="L20" i="3"/>
  <c r="I20" i="3"/>
  <c r="R20" i="3"/>
  <c r="J20" i="3"/>
  <c r="N20" i="3"/>
  <c r="D20" i="3"/>
  <c r="E20" i="3"/>
  <c r="C20" i="3"/>
  <c r="U20" i="3"/>
  <c r="T20" i="3"/>
  <c r="B21" i="3"/>
  <c r="O20" i="3"/>
  <c r="S20" i="3"/>
  <c r="K20" i="3"/>
  <c r="M20" i="3"/>
  <c r="H20" i="3"/>
  <c r="G20" i="3"/>
  <c r="P20" i="3"/>
  <c r="Q20" i="3"/>
  <c r="F20" i="3"/>
  <c r="K21" i="3"/>
  <c r="T21" i="3"/>
  <c r="J21" i="3"/>
  <c r="O21" i="3"/>
  <c r="R21" i="3"/>
  <c r="L21" i="3"/>
  <c r="E21" i="3"/>
  <c r="Q21" i="3"/>
  <c r="M21" i="3"/>
  <c r="N21" i="3"/>
  <c r="U21" i="3"/>
  <c r="G21" i="3"/>
  <c r="B22" i="3"/>
  <c r="S21" i="3"/>
  <c r="F21" i="3"/>
  <c r="P21" i="3"/>
  <c r="I21" i="3"/>
  <c r="C21" i="3"/>
  <c r="D21" i="3"/>
  <c r="H21" i="3"/>
  <c r="Q22" i="3"/>
  <c r="T22" i="3"/>
  <c r="B23" i="3"/>
  <c r="E22" i="3"/>
  <c r="S22" i="3"/>
  <c r="G22" i="3"/>
  <c r="O22" i="3"/>
  <c r="K22" i="3"/>
  <c r="C22" i="3"/>
  <c r="J22" i="3"/>
  <c r="M22" i="3"/>
  <c r="H22" i="3"/>
  <c r="L22" i="3"/>
  <c r="R22" i="3"/>
  <c r="N22" i="3"/>
  <c r="D22" i="3"/>
  <c r="U22" i="3"/>
  <c r="F22" i="3"/>
  <c r="I22" i="3"/>
  <c r="P22" i="3"/>
  <c r="I23" i="3"/>
  <c r="T23" i="3"/>
  <c r="J23" i="3"/>
  <c r="B24" i="3"/>
  <c r="C23" i="3"/>
  <c r="S23" i="3"/>
  <c r="H23" i="3"/>
  <c r="F23" i="3"/>
  <c r="D23" i="3"/>
  <c r="R23" i="3"/>
  <c r="P23" i="3"/>
  <c r="K23" i="3"/>
  <c r="L23" i="3"/>
  <c r="Q23" i="3"/>
  <c r="N23" i="3"/>
  <c r="U23" i="3"/>
  <c r="G23" i="3"/>
  <c r="E23" i="3"/>
  <c r="M23" i="3"/>
  <c r="O23" i="3"/>
  <c r="G24" i="3"/>
  <c r="E24" i="3"/>
  <c r="K24" i="3"/>
  <c r="C24" i="3"/>
  <c r="P24" i="3"/>
  <c r="T24" i="3"/>
  <c r="O24" i="3"/>
  <c r="D24" i="3"/>
  <c r="Q24" i="3"/>
  <c r="F24" i="3"/>
  <c r="L24" i="3"/>
  <c r="R24" i="3"/>
  <c r="N24" i="3"/>
  <c r="B25" i="3"/>
  <c r="M24" i="3"/>
  <c r="I24" i="3"/>
  <c r="J24" i="3"/>
  <c r="U24" i="3"/>
  <c r="S24" i="3"/>
  <c r="H24" i="3"/>
  <c r="N25" i="3"/>
  <c r="C25" i="3"/>
  <c r="G25" i="3"/>
  <c r="T25" i="3"/>
  <c r="P25" i="3"/>
  <c r="O25" i="3"/>
  <c r="H25" i="3"/>
  <c r="E25" i="3"/>
  <c r="B26" i="3"/>
  <c r="D25" i="3"/>
  <c r="F25" i="3"/>
  <c r="J25" i="3"/>
  <c r="I25" i="3"/>
  <c r="R25" i="3"/>
  <c r="S25" i="3"/>
  <c r="Q25" i="3"/>
  <c r="U25" i="3"/>
  <c r="K25" i="3"/>
  <c r="M25" i="3"/>
  <c r="L25" i="3"/>
  <c r="O26" i="3"/>
  <c r="L26" i="3"/>
  <c r="C26" i="3"/>
  <c r="J26" i="3"/>
  <c r="P26" i="3"/>
  <c r="U26" i="3"/>
  <c r="Q26" i="3"/>
  <c r="F26" i="3"/>
  <c r="B27" i="3"/>
  <c r="E26" i="3"/>
  <c r="I26" i="3"/>
  <c r="G26" i="3"/>
  <c r="K26" i="3"/>
  <c r="D26" i="3"/>
  <c r="S26" i="3"/>
  <c r="R26" i="3"/>
  <c r="N26" i="3"/>
  <c r="T26" i="3"/>
  <c r="M26" i="3"/>
  <c r="H26" i="3"/>
  <c r="D27" i="3"/>
  <c r="J27" i="3"/>
  <c r="U27" i="3"/>
  <c r="K27" i="3"/>
  <c r="I27" i="3"/>
  <c r="N27" i="3"/>
  <c r="H27" i="3"/>
  <c r="E27" i="3"/>
  <c r="B28" i="3"/>
  <c r="C27" i="3"/>
  <c r="O27" i="3"/>
  <c r="G27" i="3"/>
  <c r="P27" i="3"/>
  <c r="Q27" i="3"/>
  <c r="S27" i="3"/>
  <c r="R27" i="3"/>
  <c r="T27" i="3"/>
  <c r="F27" i="3"/>
  <c r="M27" i="3"/>
  <c r="L27" i="3"/>
  <c r="E28" i="3"/>
  <c r="L28" i="3"/>
  <c r="C28" i="3"/>
  <c r="P28" i="3"/>
  <c r="J28" i="3"/>
  <c r="Q28" i="3"/>
  <c r="U28" i="3"/>
  <c r="F28" i="3"/>
  <c r="B29" i="3"/>
  <c r="O28" i="3"/>
  <c r="I28" i="3"/>
  <c r="G28" i="3"/>
  <c r="K28" i="3"/>
  <c r="D28" i="3"/>
  <c r="S28" i="3"/>
  <c r="R28" i="3"/>
  <c r="N28" i="3"/>
  <c r="T28" i="3"/>
  <c r="M28" i="3"/>
  <c r="H28" i="3"/>
  <c r="C29" i="3"/>
  <c r="J29" i="3"/>
  <c r="U29" i="3"/>
  <c r="I29" i="3"/>
  <c r="K29" i="3"/>
  <c r="N29" i="3"/>
  <c r="H29" i="3"/>
  <c r="E29" i="3"/>
  <c r="B30" i="3"/>
  <c r="D29" i="3"/>
  <c r="O29" i="3"/>
  <c r="G29" i="3"/>
  <c r="P29" i="3"/>
  <c r="Q29" i="3"/>
  <c r="S29" i="3"/>
  <c r="R29" i="3"/>
  <c r="T29" i="3"/>
  <c r="F29" i="3"/>
  <c r="M29" i="3"/>
  <c r="L29" i="3"/>
  <c r="O30" i="3"/>
  <c r="L30" i="3"/>
  <c r="C30" i="3"/>
  <c r="J30" i="3"/>
  <c r="P30" i="3"/>
  <c r="U30" i="3"/>
  <c r="Q30" i="3"/>
  <c r="F30" i="3"/>
  <c r="B31" i="3"/>
  <c r="I30" i="3"/>
  <c r="G30" i="3"/>
  <c r="K30" i="3"/>
  <c r="D30" i="3"/>
  <c r="S30" i="3"/>
  <c r="E30" i="3"/>
  <c r="R30" i="3"/>
  <c r="N30" i="3"/>
  <c r="T30" i="3"/>
  <c r="M30" i="3"/>
  <c r="H30" i="3"/>
  <c r="I31" i="3"/>
  <c r="J31" i="3"/>
  <c r="U31" i="3"/>
  <c r="K31" i="3"/>
  <c r="S31" i="3"/>
  <c r="C31" i="3"/>
  <c r="D31" i="3"/>
  <c r="E31" i="3"/>
  <c r="B32" i="3"/>
  <c r="F31" i="3"/>
  <c r="O31" i="3"/>
  <c r="R31" i="3"/>
  <c r="N31" i="3"/>
  <c r="H31" i="3"/>
  <c r="P31" i="3"/>
  <c r="L31" i="3"/>
  <c r="Q31" i="3"/>
  <c r="M31" i="3"/>
  <c r="G31" i="3"/>
  <c r="T31" i="3"/>
  <c r="S32" i="3"/>
  <c r="G32" i="3"/>
  <c r="Q32" i="3"/>
  <c r="O32" i="3"/>
  <c r="P32" i="3"/>
  <c r="M32" i="3"/>
  <c r="R32" i="3"/>
  <c r="C32" i="3"/>
  <c r="L32" i="3"/>
  <c r="D32" i="3"/>
  <c r="F32" i="3"/>
  <c r="I32" i="3"/>
  <c r="K32" i="3"/>
  <c r="T32" i="3"/>
  <c r="H32" i="3"/>
  <c r="N32" i="3"/>
  <c r="U32" i="3"/>
  <c r="E32" i="3"/>
  <c r="J32" i="3"/>
  <c r="L100" i="2" l="1"/>
  <c r="L101" i="2" s="1"/>
  <c r="F37" i="1"/>
  <c r="F11" i="4"/>
  <c r="F13" i="4" s="1"/>
  <c r="H29" i="4" s="1"/>
  <c r="F100" i="2"/>
  <c r="F101" i="2" s="1"/>
  <c r="F103" i="2" s="1"/>
  <c r="F104" i="2" s="1"/>
  <c r="F19" i="1" l="1"/>
  <c r="F105" i="2"/>
  <c r="F106" i="2"/>
  <c r="L72" i="1"/>
  <c r="L73" i="1" s="1"/>
  <c r="L64" i="1"/>
  <c r="L65" i="1" s="1"/>
  <c r="F42" i="1"/>
  <c r="F16" i="4" s="1"/>
  <c r="J29" i="4" s="1"/>
  <c r="L66" i="1" l="1"/>
  <c r="L67" i="1"/>
  <c r="E12" i="3"/>
  <c r="F10" i="4"/>
  <c r="F23" i="1"/>
  <c r="L74" i="1"/>
  <c r="F38" i="1"/>
  <c r="F43" i="1" s="1"/>
  <c r="L75" i="1"/>
  <c r="F39" i="1" l="1"/>
  <c r="L19" i="1"/>
  <c r="F14" i="4"/>
  <c r="I29" i="4" s="1"/>
  <c r="R12" i="3"/>
  <c r="E13" i="3"/>
  <c r="P12" i="3"/>
  <c r="F12" i="3"/>
  <c r="F40" i="1"/>
  <c r="P13" i="3" l="1"/>
  <c r="Q13" i="3" s="1"/>
  <c r="E14" i="3"/>
  <c r="F13" i="3"/>
  <c r="H13" i="3" s="1"/>
  <c r="O13" i="3"/>
  <c r="G13" i="3"/>
  <c r="F31" i="4"/>
  <c r="F15" i="4"/>
  <c r="F32" i="4"/>
  <c r="F30" i="4"/>
  <c r="H32" i="4" l="1"/>
  <c r="G32" i="4"/>
  <c r="J32" i="4"/>
  <c r="I32" i="4"/>
  <c r="F14" i="3"/>
  <c r="P14" i="3"/>
  <c r="E15" i="3"/>
  <c r="O14" i="3"/>
  <c r="G14" i="3"/>
  <c r="H14" i="3"/>
  <c r="G31" i="4"/>
  <c r="I31" i="4"/>
  <c r="J31" i="4"/>
  <c r="H31" i="4"/>
  <c r="H30" i="4"/>
  <c r="F33" i="4"/>
  <c r="J30" i="4"/>
  <c r="G30" i="4"/>
  <c r="I30" i="4"/>
  <c r="S13" i="3"/>
  <c r="T13" i="3" s="1"/>
  <c r="U13" i="3" s="1"/>
  <c r="R13" i="3"/>
  <c r="H33" i="4" l="1"/>
  <c r="I33" i="4"/>
  <c r="P15" i="3"/>
  <c r="Q15" i="3" s="1"/>
  <c r="R15" i="3" s="1"/>
  <c r="F15" i="3"/>
  <c r="N15" i="3" s="1"/>
  <c r="G33" i="4"/>
  <c r="Q14" i="3"/>
  <c r="F19" i="4"/>
  <c r="J33" i="4"/>
  <c r="G15" i="3"/>
  <c r="G6" i="3" s="1"/>
  <c r="O15" i="3"/>
  <c r="H15" i="3" l="1"/>
  <c r="H6" i="3" s="1"/>
  <c r="F18" i="4"/>
  <c r="S15" i="3"/>
  <c r="T15" i="3" s="1"/>
  <c r="U15" i="3" s="1"/>
  <c r="O6" i="3"/>
  <c r="R14" i="3"/>
  <c r="R9" i="3" s="1"/>
  <c r="Q6" i="3"/>
  <c r="Q9" i="3"/>
  <c r="S14" i="3"/>
  <c r="T14" i="3" s="1"/>
  <c r="U14" i="3" s="1"/>
  <c r="Q7" i="3" l="1"/>
  <c r="U4" i="3"/>
  <c r="L43" i="1" s="1"/>
  <c r="L44" i="1" s="1"/>
  <c r="L45" i="1" s="1"/>
  <c r="O7" i="3"/>
  <c r="H7" i="3"/>
  <c r="G7" i="3"/>
  <c r="L49" i="1" l="1"/>
  <c r="F26" i="4" s="1"/>
  <c r="L47" i="1"/>
  <c r="F24" i="4" s="1"/>
  <c r="L46" i="1"/>
  <c r="F23" i="4" s="1"/>
  <c r="L48" i="1"/>
  <c r="F25" i="4" s="1"/>
  <c r="I23" i="4" l="1"/>
  <c r="G23" i="4"/>
  <c r="F27" i="4"/>
  <c r="F35" i="4" s="1"/>
  <c r="J23" i="4"/>
  <c r="H23" i="4"/>
  <c r="H25" i="4"/>
  <c r="J25" i="4"/>
  <c r="G25" i="4"/>
  <c r="I25" i="4"/>
  <c r="G24" i="4"/>
  <c r="H24" i="4"/>
  <c r="J24" i="4"/>
  <c r="I24" i="4"/>
  <c r="J26" i="4"/>
  <c r="G26" i="4"/>
  <c r="H26" i="4"/>
  <c r="I26" i="4"/>
  <c r="G27" i="4" l="1"/>
  <c r="G35" i="4" s="1"/>
  <c r="J27" i="4"/>
  <c r="J35" i="4" s="1"/>
  <c r="H27" i="4"/>
  <c r="H35" i="4" s="1"/>
  <c r="I27" i="4"/>
  <c r="I35" i="4" s="1"/>
</calcChain>
</file>

<file path=xl/comments1.xml><?xml version="1.0" encoding="utf-8"?>
<comments xmlns="http://schemas.openxmlformats.org/spreadsheetml/2006/main">
  <authors>
    <author>dhuyvetter</author>
    <author>Terry Kastens</author>
  </authors>
  <commentList>
    <comment ref="B6" authorId="0" shapeId="0">
      <text>
        <r>
          <rPr>
            <sz val="10"/>
            <color indexed="81"/>
            <rFont val="Tahoma"/>
            <family val="2"/>
          </rPr>
          <t>Baler class indicates either big round bales or big square bales.</t>
        </r>
      </text>
    </comment>
    <comment ref="F12" authorId="0" shapeId="0">
      <text>
        <r>
          <rPr>
            <sz val="10"/>
            <color indexed="81"/>
            <rFont val="Tahoma"/>
            <family val="2"/>
          </rPr>
          <t xml:space="preserve">Enter 1 for a large round baler or 2 for a large square baler.
</t>
        </r>
      </text>
    </comment>
    <comment ref="F13" authorId="0" shapeId="0">
      <text>
        <r>
          <rPr>
            <sz val="10"/>
            <color indexed="81"/>
            <rFont val="Tahoma"/>
            <family val="2"/>
          </rPr>
          <t>Enter the percent of bales where net wrap is used.  If all twine is used, enter 0.  If all net wrap is used, enter 100.  If a square baler, this cell will be ignored.  If considering a round baler using twine against one using net wrap be sure that the purchase and market prices are adjusted accordingly.  See also the section dealing with twine vs. net wrap.</t>
        </r>
      </text>
    </comment>
    <comment ref="L13" authorId="0" shapeId="0">
      <text>
        <r>
          <rPr>
            <sz val="10"/>
            <color indexed="81"/>
            <rFont val="Tahoma"/>
            <family val="2"/>
          </rPr>
          <t>Tractors typically rent for $0.19 to $0.25 per horsepower-hour.</t>
        </r>
      </text>
    </comment>
    <comment ref="F14" authorId="0" shapeId="0">
      <text>
        <r>
          <rPr>
            <sz val="10"/>
            <color indexed="81"/>
            <rFont val="Tahoma"/>
            <family val="2"/>
          </rPr>
          <t xml:space="preserve">Enter the age of the baler to purchase in years (e.g., in 2016 a 2013 model would be 3).  The age of a new baler is 0 years.
</t>
        </r>
      </text>
    </comment>
    <comment ref="F15" authorId="0" shapeId="0">
      <text>
        <r>
          <rPr>
            <sz val="10"/>
            <color indexed="81"/>
            <rFont val="Tahoma"/>
            <family val="2"/>
          </rPr>
          <t>Enter the current number of bales from the bale counter of the baler being considered.  Estimate it if it is unknown.  Enter a 0 if the baler is new.</t>
        </r>
      </text>
    </comment>
    <comment ref="L15" authorId="0" shapeId="0">
      <text>
        <r>
          <rPr>
            <sz val="10"/>
            <color indexed="81"/>
            <rFont val="Tahoma"/>
            <family val="2"/>
          </rPr>
          <t>Enter an estimate for the tractor fuel consumption per engine hour as gallons/hr.</t>
        </r>
      </text>
    </comment>
    <comment ref="F16" authorId="0" shapeId="0">
      <text>
        <r>
          <rPr>
            <sz val="10"/>
            <color indexed="81"/>
            <rFont val="Tahoma"/>
            <family val="2"/>
          </rPr>
          <t xml:space="preserve">Enter the width of the bale in inches as accurately as you can.  This is the horizontal measure, perpendicular to the line of travel.  This number is determined by the baler specifications.  See the table in the </t>
        </r>
        <r>
          <rPr>
            <b/>
            <sz val="10"/>
            <color indexed="81"/>
            <rFont val="Tahoma"/>
            <family val="2"/>
          </rPr>
          <t>Baler Models</t>
        </r>
        <r>
          <rPr>
            <sz val="10"/>
            <color indexed="81"/>
            <rFont val="Tahoma"/>
            <family val="2"/>
          </rPr>
          <t xml:space="preserve"> tab for some common dimensions for balers.</t>
        </r>
      </text>
    </comment>
    <comment ref="F17" authorId="0" shapeId="0">
      <text>
        <r>
          <rPr>
            <sz val="10"/>
            <color indexed="81"/>
            <rFont val="Tahoma"/>
            <family val="2"/>
          </rPr>
          <t xml:space="preserve">In inches, enter the fixed height if a square baler or the MAXIMUM height if a round baler.  This number is determined by the baler specifications.  See the table in the </t>
        </r>
        <r>
          <rPr>
            <b/>
            <sz val="10"/>
            <color indexed="81"/>
            <rFont val="Tahoma"/>
            <family val="2"/>
          </rPr>
          <t>Baler Models</t>
        </r>
        <r>
          <rPr>
            <sz val="10"/>
            <color indexed="81"/>
            <rFont val="Tahoma"/>
            <family val="2"/>
          </rPr>
          <t xml:space="preserve"> tab for some common dimensions for balers.</t>
        </r>
      </text>
    </comment>
    <comment ref="L17" authorId="0" shapeId="0">
      <text>
        <r>
          <rPr>
            <sz val="10"/>
            <color indexed="81"/>
            <rFont val="Arial"/>
            <family val="2"/>
          </rPr>
          <t>Typically runs between 5 and 10 percent of fuel costs.</t>
        </r>
      </text>
    </comment>
    <comment ref="F18" authorId="0" shapeId="0">
      <text>
        <r>
          <rPr>
            <sz val="10"/>
            <color indexed="81"/>
            <rFont val="Tahoma"/>
            <family val="2"/>
          </rPr>
          <t>In inches, enter the maximum length of a square bale as determined by the baler specifications (often around 96).  This cell will be ignored when examining round balers.</t>
        </r>
      </text>
    </comment>
    <comment ref="L18" authorId="0" shapeId="0">
      <text>
        <r>
          <rPr>
            <sz val="10"/>
            <color indexed="81"/>
            <rFont val="Tahoma"/>
            <family val="2"/>
          </rPr>
          <t>This is the number of tractor hourmeter hours assigned to the baling operation that are tallied for each baler hour.  Road time, idling time, and faster baling speeds (less percent of total time spent baling) will increase it.  Based on preliminary work, we believe a reasonable estimate is 1.6-1.9 for square baling and round baling with net wrap, but 1.5-1.8 for round baling with twine.</t>
        </r>
      </text>
    </comment>
    <comment ref="F19" authorId="1" shapeId="0">
      <text>
        <r>
          <rPr>
            <sz val="10"/>
            <color indexed="81"/>
            <rFont val="Tahoma"/>
            <family val="2"/>
          </rPr>
          <t>Historical usage in terms of accumulated bales is calculated from number of bales on baler at purchase, along with information believed reliable regarding average travel speed, swath width, etc.</t>
        </r>
      </text>
    </comment>
    <comment ref="L19" authorId="1" shapeId="0">
      <text>
        <r>
          <rPr>
            <sz val="10"/>
            <color indexed="81"/>
            <rFont val="Tahoma"/>
            <family val="2"/>
          </rPr>
          <t>This number is the number of tractor hours tallied that are associated with moving between fields and baling, but not with moving or loading bales.  If this number appears off, adjust the ratio above, or one of the other inputs such as travel speed when baling, etc.  Your experience should be consistent with this number.</t>
        </r>
      </text>
    </comment>
    <comment ref="F20" authorId="0" shapeId="0">
      <text>
        <r>
          <rPr>
            <sz val="10"/>
            <color indexed="81"/>
            <rFont val="Tahoma"/>
            <family val="2"/>
          </rPr>
          <t xml:space="preserve">Enter the dollar amount expected to be paid in an outright deal for the baler being considered, that is, without a trade-in.
</t>
        </r>
      </text>
    </comment>
    <comment ref="L20" authorId="0" shapeId="0">
      <text>
        <r>
          <rPr>
            <sz val="10"/>
            <color indexed="81"/>
            <rFont val="Tahoma"/>
            <family val="2"/>
          </rPr>
          <t>Enter an estimate for the labor efficiency associated with operating the tractor that pulls the baler down the road and around the field.  A value of 1.0 would indicate that the only labor associated with the baling operation is when the tractor engine is running.  A value of 1.5 would indicate that for every hour the tractor engine is running, an additional half hour of labor is required (for tasks such as servicing the baler and tractor, etc.).  Until we learn better, a suggested range is 1.7 to 2.3.  Don't forget to add in a the time associated with managing the baling operation.  It may be easiest to check this number against reality by examining the total labor bill on the Analysis page.</t>
        </r>
      </text>
    </comment>
    <comment ref="F21" authorId="0" shapeId="0">
      <text>
        <r>
          <rPr>
            <sz val="10"/>
            <color indexed="81"/>
            <rFont val="Tahoma"/>
            <family val="2"/>
          </rPr>
          <t xml:space="preserve">Enter an estimate of the market value of the baler being considered.  Typically, the purchase price and market price should be equal.  However, if you are getting a "good deal" the purchase price might be lower than the market price.  Likewise, if you are purchasing a "mint condition" baler, the purchase price might be above the market price.
</t>
        </r>
      </text>
    </comment>
    <comment ref="L21" authorId="0" shapeId="0">
      <text>
        <r>
          <rPr>
            <sz val="10"/>
            <color indexed="81"/>
            <rFont val="Tahoma"/>
            <family val="2"/>
          </rPr>
          <t>Be sure your labor charge includes all labor and associated management cost on an hourly basis, whether it is hired labor or labor of the operator.  Don't forget to include payroll taxes and fringe benefits.</t>
        </r>
      </text>
    </comment>
    <comment ref="F22" authorId="0" shapeId="0">
      <text>
        <r>
          <rPr>
            <sz val="10"/>
            <color indexed="81"/>
            <rFont val="Tahoma"/>
            <family val="2"/>
          </rPr>
          <t>Enter the cash downpayment required.  This value does not affect economic costs as interest is charged on equity as well.  However, it does impact cashflow as can be seen in the Time and Tax (TT) sheet.</t>
        </r>
      </text>
    </comment>
    <comment ref="L23" authorId="0" shapeId="0">
      <text>
        <r>
          <rPr>
            <sz val="10"/>
            <color indexed="81"/>
            <rFont val="Tahoma"/>
            <family val="2"/>
          </rPr>
          <t xml:space="preserve">Enter a bank interest rate that you would expect on borrowed capital.  This value will represent the rate of return charged on equity capital as well and is used to discount future costs.
</t>
        </r>
      </text>
    </comment>
    <comment ref="F24" authorId="0" shapeId="0">
      <text>
        <r>
          <rPr>
            <sz val="10"/>
            <color indexed="81"/>
            <rFont val="Tahoma"/>
            <family val="2"/>
          </rPr>
          <t xml:space="preserve">Enter the number of seasons the baler will be used before it is sold or traded.
</t>
        </r>
      </text>
    </comment>
    <comment ref="L25" authorId="0" shapeId="0">
      <text>
        <r>
          <rPr>
            <sz val="10"/>
            <color indexed="81"/>
            <rFont val="Tahoma"/>
            <family val="2"/>
          </rPr>
          <t xml:space="preserve">Enter your marginal federal and state income tax rate.  Federal income tax rates for sole proprietors are either 15% or 28% with state rates around 4% to 5%. 
</t>
        </r>
      </text>
    </comment>
    <comment ref="L26" authorId="0" shapeId="0">
      <text>
        <r>
          <rPr>
            <sz val="10"/>
            <color indexed="81"/>
            <rFont val="Tahoma"/>
            <family val="2"/>
          </rPr>
          <t xml:space="preserve">Enter the self-employment tax (currently 15.3%).
</t>
        </r>
      </text>
    </comment>
    <comment ref="F27" authorId="1" shapeId="0">
      <text>
        <r>
          <rPr>
            <sz val="10"/>
            <color indexed="81"/>
            <rFont val="Tahoma"/>
            <family val="2"/>
          </rPr>
          <t>If round bales, this is the density of a 1700 lb 5x6 bale.  If square bales, this is the density of a 1325 lb Hesston 3x4x8 bale (i.e., 47.25 in. x 34.4 in. x 96 in).</t>
        </r>
      </text>
    </comment>
    <comment ref="L27" authorId="0" shapeId="0">
      <text>
        <r>
          <rPr>
            <sz val="10"/>
            <color indexed="81"/>
            <rFont val="Tahoma"/>
            <family val="2"/>
          </rPr>
          <t>Enter the maximum dollar amount of the Sec-179 deduction that is allowed by law.  In 2006 it is $108,000 and in 2007 it is $112,000.  This is NOT the amount you wish to claim on the baler purchase.</t>
        </r>
      </text>
    </comment>
    <comment ref="F28" authorId="0" shapeId="0">
      <text>
        <r>
          <rPr>
            <sz val="10"/>
            <color indexed="81"/>
            <rFont val="Tahoma"/>
            <family val="2"/>
          </rPr>
          <t>Enter the expected density of your bales.  Bale density can vary dramatically based on crop, moisture, travel speed, and baler settings.  Use the computed density just above as one possibility.  Use the computed weight per bale reported just below, along with your experience, as an important reality check.</t>
        </r>
      </text>
    </comment>
    <comment ref="L28" authorId="0" shapeId="0">
      <text>
        <r>
          <rPr>
            <sz val="10"/>
            <color indexed="81"/>
            <rFont val="Tahoma"/>
            <family val="2"/>
          </rPr>
          <t>Enter the amount of Section-179 tax deduction to be claimed, if any (can be 0), on the baler being considered.</t>
        </r>
      </text>
    </comment>
    <comment ref="F29" authorId="0" shapeId="0">
      <text>
        <r>
          <rPr>
            <sz val="10"/>
            <color indexed="81"/>
            <rFont val="Tahoma"/>
            <family val="2"/>
          </rPr>
          <t>In inches, enter the diameter (height) of the round bale you plan to make with this baler.  It should be within the specs entered above.  This cell will be ignored when examining a square baler.</t>
        </r>
      </text>
    </comment>
    <comment ref="L29" authorId="0" shapeId="0">
      <text>
        <r>
          <rPr>
            <sz val="10"/>
            <color indexed="81"/>
            <rFont val="Arial"/>
            <family val="2"/>
          </rPr>
          <t>This is the percent bonus depreciation allowed by law, and is only for brand new equipment.  This is NOT an indication of whether or not you wish to use the bonus depreciation; that decision is made in the cell immediately below.</t>
        </r>
      </text>
    </comment>
    <comment ref="F30" authorId="0" shapeId="0">
      <text>
        <r>
          <rPr>
            <sz val="10"/>
            <color indexed="81"/>
            <rFont val="Tahoma"/>
            <family val="2"/>
          </rPr>
          <t>In inches, enter the length of the square bale you plan to make with this baler.  It should be within the specs entered above.  This cell will be ignored when examining a round baler.</t>
        </r>
      </text>
    </comment>
    <comment ref="L30" authorId="0" shapeId="0">
      <text>
        <r>
          <rPr>
            <sz val="10"/>
            <color indexed="81"/>
            <rFont val="Tahoma"/>
            <family val="2"/>
          </rPr>
          <t>A bonus first-year depreciation of 50% is allowed on new machines.  Enter a "1" if this first-year depreciation will be taken or a "0" if it will not.</t>
        </r>
      </text>
    </comment>
    <comment ref="F32" authorId="1" shapeId="0">
      <text>
        <r>
          <rPr>
            <sz val="10"/>
            <color indexed="81"/>
            <rFont val="Tahoma"/>
            <family val="2"/>
          </rPr>
          <t>If you do not believe this weight then change a bale measurement that you can or change the expected bale density.</t>
        </r>
      </text>
    </comment>
    <comment ref="L33" authorId="0" shapeId="0">
      <text>
        <r>
          <rPr>
            <sz val="10"/>
            <color indexed="81"/>
            <rFont val="Tahoma"/>
            <family val="2"/>
          </rPr>
          <t xml:space="preserve">Enter the depreciation rates across the years that a tractor is considered owned.  The default values represent MACRS depreciation rates for 7-year property.  If these values are changed, make sure they sum to 100%.
</t>
        </r>
      </text>
    </comment>
    <comment ref="F34" authorId="0" shapeId="0">
      <text>
        <r>
          <rPr>
            <sz val="10"/>
            <color indexed="81"/>
            <rFont val="Tahoma"/>
            <family val="2"/>
          </rPr>
          <t>This is the average "covering new ground" travel speed.  For example, if you run 8 mph when baling down a windrow, but spend 25% of your times in turning around at the ends of your swaths, than the average travel speed is actually only 6.4 mph (because 8/1.25 = 6.4).</t>
        </r>
      </text>
    </comment>
    <comment ref="F35" authorId="0" shapeId="0">
      <text>
        <r>
          <rPr>
            <sz val="10"/>
            <color indexed="81"/>
            <rFont val="Tahoma"/>
            <family val="2"/>
          </rPr>
          <t>Enter the number of feet that is the crop's swath width when baling.  For example, if you rake two 14 foot windrower swaths together before baling, you would enter 28.</t>
        </r>
      </text>
    </comment>
    <comment ref="F36" authorId="0" shapeId="0">
      <text>
        <r>
          <rPr>
            <sz val="10"/>
            <color indexed="81"/>
            <rFont val="Tahoma"/>
            <family val="2"/>
          </rPr>
          <t>This is the tons per acre of forage when baling (at baling moisture).  If you take multiple cuttings from the same acre, this is average T/acre per cutting.</t>
        </r>
      </text>
    </comment>
    <comment ref="F37" authorId="1" shapeId="0">
      <text>
        <r>
          <rPr>
            <sz val="10"/>
            <color indexed="81"/>
            <rFont val="Tahoma"/>
            <family val="2"/>
          </rPr>
          <t>This number should serve as a reality check if you are used to thinking about bales per acre rather than tons/acre.</t>
        </r>
      </text>
    </comment>
    <comment ref="F38" authorId="1" shapeId="0">
      <text>
        <r>
          <rPr>
            <sz val="10"/>
            <color indexed="81"/>
            <rFont val="Tahoma"/>
            <family val="2"/>
          </rPr>
          <t>This number is calculated from your inputs and is bales per hour that you are actually baling.  If a round baler, the time spent stopping to tie is considered baling time.</t>
        </r>
      </text>
    </comment>
    <comment ref="F39" authorId="1" shapeId="0">
      <text>
        <r>
          <rPr>
            <sz val="10"/>
            <color indexed="81"/>
            <rFont val="Tahoma"/>
            <family val="2"/>
          </rPr>
          <t>This number is calculated from your inputs and is bales per hour that you are actually baling.  If a round baler, the time spent stopping to tie is considered baling time.</t>
        </r>
      </text>
    </comment>
    <comment ref="F40" authorId="1" shapeId="0">
      <text>
        <r>
          <rPr>
            <sz val="10"/>
            <color indexed="81"/>
            <rFont val="Tahoma"/>
            <family val="2"/>
          </rPr>
          <t>This number is calculated from your inputs and is bales per hour that you are actually baling.  If a round baler, the time spent stopping to tie is considered baling time.</t>
        </r>
      </text>
    </comment>
    <comment ref="F41" authorId="0" shapeId="0">
      <text>
        <r>
          <rPr>
            <sz val="10"/>
            <color indexed="81"/>
            <rFont val="Tahoma"/>
            <family val="2"/>
          </rPr>
          <t xml:space="preserve">Enter an estimate of the total number of bales the baler will make annually.
</t>
        </r>
      </text>
    </comment>
    <comment ref="F42" authorId="1" shapeId="0">
      <text>
        <r>
          <rPr>
            <sz val="10"/>
            <color indexed="81"/>
            <rFont val="Tahoma"/>
            <family val="2"/>
          </rPr>
          <t>This number is calculated from numbers entered above.  Use it as a consistency check on those inputs.</t>
        </r>
      </text>
    </comment>
    <comment ref="F43" authorId="1" shapeId="0">
      <text>
        <r>
          <rPr>
            <sz val="10"/>
            <color indexed="81"/>
            <rFont val="Tahoma"/>
            <family val="2"/>
          </rPr>
          <t>This number is calculated from numbers entered above.  It is used to calculate expected repair costs per year and baler's future market value.</t>
        </r>
      </text>
    </comment>
    <comment ref="F45" authorId="0" shapeId="0">
      <text>
        <r>
          <rPr>
            <sz val="10"/>
            <color indexed="81"/>
            <rFont val="Tahoma"/>
            <family val="2"/>
          </rPr>
          <t>This is the expected annual inflation on machinery prices and is typically 1% to 2%.  It is used to help establish market value and to establish the new equivalent price (NEP) for each year, which is used in the calculation of accumulated repairs.</t>
        </r>
      </text>
    </comment>
    <comment ref="F46" authorId="0" shapeId="0">
      <text>
        <r>
          <rPr>
            <sz val="10"/>
            <color indexed="81"/>
            <rFont val="Tahoma"/>
            <family val="2"/>
          </rPr>
          <t>If you believe you are a good trader, leave at 0.  If you think you get a little less than market price in trade you might enter a value like 0.03 to 0.07.  Could also be considered as the "extra" depreciation you have in the first year after purchasing a baler -- or the added cost of tracking down a decent (market value) buy on a used baler.  It will be reflected as this percent lower than market sale price in the year you trade or sell the baler.</t>
        </r>
      </text>
    </comment>
    <comment ref="F47" authorId="0" shapeId="0">
      <text>
        <r>
          <rPr>
            <sz val="10"/>
            <color indexed="81"/>
            <rFont val="Tahoma"/>
            <family val="2"/>
          </rPr>
          <t>The repair adjustment factor allows for the calculated repairs to be increased (decreased) proportionately.  For example, an RAF of 0.9 will decrease model-predicted repairs by 10% and an RAF of 1.1 will increase model-predicted repairs by 10%.</t>
        </r>
      </text>
    </comment>
    <comment ref="F48" authorId="0" shapeId="0">
      <text>
        <r>
          <rPr>
            <sz val="10"/>
            <color indexed="81"/>
            <rFont val="Tahoma"/>
            <family val="2"/>
          </rPr>
          <t xml:space="preserve">Costs associated with property taxes, insurance, and shelter are estimated as a fixed percent of combine market value.  Assuming no property taxes, a value of approximately 1.5% is suggested.
</t>
        </r>
      </text>
    </comment>
    <comment ref="L58" authorId="0" shapeId="0">
      <text>
        <r>
          <rPr>
            <sz val="10"/>
            <color indexed="81"/>
            <rFont val="Tahoma"/>
            <family val="2"/>
          </rPr>
          <t>If the calculated number of bales per ball of twine doesn't seem correct this number may be incorrect.</t>
        </r>
      </text>
    </comment>
    <comment ref="L59" authorId="0" shapeId="0">
      <text>
        <r>
          <rPr>
            <sz val="10"/>
            <color indexed="81"/>
            <rFont val="Tahoma"/>
            <family val="2"/>
          </rPr>
          <t>If the calculated number of bales per ball of twine doesn't seem correct this number may be incorrect.</t>
        </r>
      </text>
    </comment>
    <comment ref="L60" authorId="0" shapeId="0">
      <text>
        <r>
          <rPr>
            <sz val="10"/>
            <color indexed="81"/>
            <rFont val="Tahoma"/>
            <family val="2"/>
          </rPr>
          <t>If the calculated number of bales per ball of twine doesn't seem correct this number may be incorrect.</t>
        </r>
      </text>
    </comment>
    <comment ref="L62" authorId="1" shapeId="0">
      <text>
        <r>
          <rPr>
            <sz val="10"/>
            <color indexed="81"/>
            <rFont val="Tahoma"/>
            <family val="2"/>
          </rPr>
          <t>This is an important check of your assumptions above.  If it seems wrong, change your expected twine spacing and/or number of extra wraps information above.</t>
        </r>
      </text>
    </comment>
    <comment ref="F63" authorId="0" shapeId="0">
      <text>
        <r>
          <rPr>
            <sz val="10"/>
            <color indexed="81"/>
            <rFont val="Tahoma"/>
            <family val="2"/>
          </rPr>
          <t>This number is determined by the baler specifications.</t>
        </r>
      </text>
    </comment>
    <comment ref="L63" authorId="1" shapeId="0">
      <text>
        <r>
          <rPr>
            <sz val="10"/>
            <color indexed="81"/>
            <rFont val="Tahoma"/>
            <family val="2"/>
          </rPr>
          <t>This is an important test of your assumptions above.  If it seems wrong, change one or more of your assumptions above.</t>
        </r>
      </text>
    </comment>
    <comment ref="F64" authorId="0" shapeId="0">
      <text>
        <r>
          <rPr>
            <sz val="10"/>
            <color indexed="81"/>
            <rFont val="Tahoma"/>
            <family val="2"/>
          </rPr>
          <t>Six inches seems like a reasonable estimate unless you know otherwise.</t>
        </r>
      </text>
    </comment>
    <comment ref="F66" authorId="1" shapeId="0">
      <text>
        <r>
          <rPr>
            <sz val="10"/>
            <color indexed="81"/>
            <rFont val="Tahoma"/>
            <family val="2"/>
          </rPr>
          <t>This is an important check of especially your assumption about bale length.  If it seems incorrect, you might take up the slack by modifying the inches per knot since you do not want to change the width and height of the bale.</t>
        </r>
      </text>
    </comment>
    <comment ref="L69" authorId="0" shapeId="0">
      <text>
        <r>
          <rPr>
            <sz val="10"/>
            <color indexed="81"/>
            <rFont val="Tahoma"/>
            <family val="2"/>
          </rPr>
          <t>We expect this number to be between 2 and 3.</t>
        </r>
      </text>
    </comment>
    <comment ref="L70" authorId="1" shapeId="0">
      <text>
        <r>
          <rPr>
            <sz val="10"/>
            <color indexed="81"/>
            <rFont val="Tahoma"/>
            <family val="2"/>
          </rPr>
          <t>This is an important check of your number of wraps assumption above.  If it seems wrong, change your expected number of wraps.</t>
        </r>
      </text>
    </comment>
    <comment ref="L71" authorId="1" shapeId="0">
      <text>
        <r>
          <rPr>
            <sz val="10"/>
            <color indexed="81"/>
            <rFont val="Tahoma"/>
            <family val="2"/>
          </rPr>
          <t>This is another check of your number of wraps assumption above.</t>
        </r>
      </text>
    </comment>
    <comment ref="F73" authorId="0" shapeId="0">
      <text>
        <r>
          <rPr>
            <sz val="10"/>
            <color indexed="81"/>
            <rFont val="Tahoma"/>
            <family val="2"/>
          </rPr>
          <t>A typical belt speed is 420 ft/min.  Change if you have a more accurate estimate.</t>
        </r>
      </text>
    </comment>
    <comment ref="F75" authorId="0" shapeId="0">
      <text>
        <r>
          <rPr>
            <sz val="10"/>
            <color indexed="81"/>
            <rFont val="Tahoma"/>
            <family val="2"/>
          </rPr>
          <t>Enter the time in seconds from when the clutch is pushed until wrapping begins.</t>
        </r>
      </text>
    </comment>
  </commentList>
</comments>
</file>

<file path=xl/sharedStrings.xml><?xml version="1.0" encoding="utf-8"?>
<sst xmlns="http://schemas.openxmlformats.org/spreadsheetml/2006/main" count="588" uniqueCount="350">
  <si>
    <t>Time and tax (TT) section</t>
  </si>
  <si>
    <t>year</t>
  </si>
  <si>
    <t>after-tax</t>
  </si>
  <si>
    <t>discount</t>
  </si>
  <si>
    <t>factor</t>
  </si>
  <si>
    <t>machine</t>
  </si>
  <si>
    <t>age</t>
  </si>
  <si>
    <t>hours</t>
  </si>
  <si>
    <t>value</t>
  </si>
  <si>
    <t>interest</t>
  </si>
  <si>
    <t>market</t>
  </si>
  <si>
    <t>tax</t>
  </si>
  <si>
    <t>rate</t>
  </si>
  <si>
    <t>RF1</t>
  </si>
  <si>
    <t>and tax</t>
  </si>
  <si>
    <t>RF2</t>
  </si>
  <si>
    <t>loan</t>
  </si>
  <si>
    <t>principal</t>
  </si>
  <si>
    <t>Analysis highlights:</t>
  </si>
  <si>
    <t>Opportunity interest</t>
  </si>
  <si>
    <t>Market depreciation</t>
  </si>
  <si>
    <t>Repair and maintenance</t>
  </si>
  <si>
    <t>Tax, insurance, &amp; shelter (TIS)</t>
  </si>
  <si>
    <t>repairs</t>
  </si>
  <si>
    <t>$/year</t>
  </si>
  <si>
    <t>annual</t>
  </si>
  <si>
    <t>$/hour</t>
  </si>
  <si>
    <t>per hour</t>
  </si>
  <si>
    <t>savings</t>
  </si>
  <si>
    <t>net</t>
  </si>
  <si>
    <t>cash out</t>
  </si>
  <si>
    <t>discounted</t>
  </si>
  <si>
    <t>Kevin C. Dhuyvetter, Ph.D.</t>
  </si>
  <si>
    <t>Kansas State University</t>
  </si>
  <si>
    <r>
      <t>User Input and related calculations section (</t>
    </r>
    <r>
      <rPr>
        <b/>
        <sz val="10"/>
        <color indexed="12"/>
        <rFont val="Arial"/>
        <family val="2"/>
      </rPr>
      <t>blue</t>
    </r>
    <r>
      <rPr>
        <b/>
        <sz val="10"/>
        <rFont val="Arial"/>
        <family val="2"/>
      </rPr>
      <t xml:space="preserve"> shaded cells are inputs)</t>
    </r>
  </si>
  <si>
    <t>* EOY = End of year</t>
  </si>
  <si>
    <t>** TIS = Property tax, insurance, and shelter</t>
  </si>
  <si>
    <t>After-tax net present value of costs (NPVc) =&gt;</t>
  </si>
  <si>
    <t>after-tax NPV =&gt;</t>
  </si>
  <si>
    <t>% of total =&gt;</t>
  </si>
  <si>
    <t>EOY*</t>
  </si>
  <si>
    <t>est.</t>
  </si>
  <si>
    <t>Sec. 179</t>
  </si>
  <si>
    <t>opp.</t>
  </si>
  <si>
    <t>deprec.</t>
  </si>
  <si>
    <t>downpmt</t>
  </si>
  <si>
    <t>accum.</t>
  </si>
  <si>
    <t>or sale</t>
  </si>
  <si>
    <t>TIS**</t>
  </si>
  <si>
    <t>Date of analysis =====&gt;</t>
  </si>
  <si>
    <t>Accumulated repairs over lifetime</t>
  </si>
  <si>
    <t>tax basis</t>
  </si>
  <si>
    <t>of sale</t>
  </si>
  <si>
    <t>or year</t>
  </si>
  <si>
    <t>useful life</t>
  </si>
  <si>
    <t/>
  </si>
  <si>
    <t>repair factors</t>
  </si>
  <si>
    <t>Factors used in analysis =&gt;</t>
  </si>
  <si>
    <t>Fuel and lubrication</t>
  </si>
  <si>
    <t xml:space="preserve">   Average fuel price ($/gallon)</t>
  </si>
  <si>
    <t xml:space="preserve">   Oil and lubrication percent of fuel cost</t>
  </si>
  <si>
    <t>Labor</t>
  </si>
  <si>
    <t>$/acre</t>
  </si>
  <si>
    <t>SUBTOTAL</t>
  </si>
  <si>
    <r>
      <t>SUBTOTAL</t>
    </r>
    <r>
      <rPr>
        <b/>
        <vertAlign val="superscript"/>
        <sz val="10"/>
        <rFont val="Arial"/>
        <family val="2"/>
      </rPr>
      <t>1</t>
    </r>
  </si>
  <si>
    <t>Cost breakdown:</t>
  </si>
  <si>
    <t>Large round baler</t>
  </si>
  <si>
    <t>Large square baler</t>
  </si>
  <si>
    <t>Baler class</t>
  </si>
  <si>
    <t>size</t>
  </si>
  <si>
    <t>usage</t>
  </si>
  <si>
    <t>Brand</t>
  </si>
  <si>
    <t>Model</t>
  </si>
  <si>
    <t>Square Balers</t>
  </si>
  <si>
    <t xml:space="preserve">AGCO Hesston </t>
  </si>
  <si>
    <t>New Holland</t>
  </si>
  <si>
    <t>BB940A</t>
  </si>
  <si>
    <t>BB940</t>
  </si>
  <si>
    <t>D1000</t>
  </si>
  <si>
    <t>D800</t>
  </si>
  <si>
    <t>BB960A</t>
  </si>
  <si>
    <t>BB960</t>
  </si>
  <si>
    <t>D2000</t>
  </si>
  <si>
    <t>Round Balers</t>
  </si>
  <si>
    <t>846A</t>
  </si>
  <si>
    <t>555 S</t>
  </si>
  <si>
    <t>856A</t>
  </si>
  <si>
    <t>565A</t>
  </si>
  <si>
    <t>1860A</t>
  </si>
  <si>
    <t>John Deere</t>
  </si>
  <si>
    <t>582SS</t>
  </si>
  <si>
    <t>Krone</t>
  </si>
  <si>
    <t>KR125B</t>
  </si>
  <si>
    <t>KR125</t>
  </si>
  <si>
    <t>KR130B</t>
  </si>
  <si>
    <t>KR230</t>
  </si>
  <si>
    <t>KR130</t>
  </si>
  <si>
    <t>VP1810</t>
  </si>
  <si>
    <t>KR280</t>
  </si>
  <si>
    <t>KR181</t>
  </si>
  <si>
    <t>BR730</t>
  </si>
  <si>
    <t>BR740</t>
  </si>
  <si>
    <t>BR780</t>
  </si>
  <si>
    <t>Vermeer</t>
  </si>
  <si>
    <t>Ensiler</t>
  </si>
  <si>
    <t>503 l</t>
  </si>
  <si>
    <t>403SG</t>
  </si>
  <si>
    <t>403F</t>
  </si>
  <si>
    <t>554XL</t>
  </si>
  <si>
    <t>504L</t>
  </si>
  <si>
    <t>504Sl</t>
  </si>
  <si>
    <t>504 I</t>
  </si>
  <si>
    <t>504SG</t>
  </si>
  <si>
    <t>555XL</t>
  </si>
  <si>
    <t>505L</t>
  </si>
  <si>
    <t>505Sl</t>
  </si>
  <si>
    <t>505 l</t>
  </si>
  <si>
    <t>604XL</t>
  </si>
  <si>
    <t>604L</t>
  </si>
  <si>
    <t>604K</t>
  </si>
  <si>
    <t>604SJ</t>
  </si>
  <si>
    <t>604J</t>
  </si>
  <si>
    <t>605XL</t>
  </si>
  <si>
    <t>605L</t>
  </si>
  <si>
    <t>605K</t>
  </si>
  <si>
    <t>605SJ</t>
  </si>
  <si>
    <t>605J</t>
  </si>
  <si>
    <t>605H</t>
  </si>
  <si>
    <t>Square Balers:</t>
  </si>
  <si>
    <t>Round Balers:</t>
  </si>
  <si>
    <t>constant</t>
  </si>
  <si>
    <t>date</t>
  </si>
  <si>
    <t>square</t>
  </si>
  <si>
    <t>round</t>
  </si>
  <si>
    <t>lb/cu-ft</t>
  </si>
  <si>
    <t>Baler analysis summary section</t>
  </si>
  <si>
    <t>Baler class used</t>
  </si>
  <si>
    <t>Baler purchase price</t>
  </si>
  <si>
    <t>Baler age when purchased</t>
  </si>
  <si>
    <t>Bales on baler when purchased</t>
  </si>
  <si>
    <t>Estimated hours on baler when purchased</t>
  </si>
  <si>
    <t>Bales made by baler per year</t>
  </si>
  <si>
    <t>Hours put on baler per year</t>
  </si>
  <si>
    <t>Total acres baled per year</t>
  </si>
  <si>
    <t>Baler value when sold</t>
  </si>
  <si>
    <t>$/bale</t>
  </si>
  <si>
    <t>$/ton</t>
  </si>
  <si>
    <t>Tons of hay baled per year</t>
  </si>
  <si>
    <r>
      <t>1</t>
    </r>
    <r>
      <rPr>
        <b/>
        <sz val="10"/>
        <rFont val="Arial"/>
        <family val="2"/>
      </rPr>
      <t xml:space="preserve"> Can be compared to baler rental rates since tractor, labor, and fuel &amp; lubrication are excluded.</t>
    </r>
  </si>
  <si>
    <t>Average weight of bales in lb</t>
  </si>
  <si>
    <t>Tractor rental charge</t>
  </si>
  <si>
    <r>
      <t>Total for baling operation</t>
    </r>
    <r>
      <rPr>
        <b/>
        <vertAlign val="superscript"/>
        <sz val="10"/>
        <rFont val="Arial"/>
        <family val="2"/>
      </rPr>
      <t>2</t>
    </r>
  </si>
  <si>
    <t>Information on baler considered for purchase</t>
  </si>
  <si>
    <t>Information on bales you intend to make</t>
  </si>
  <si>
    <t>Information on the scale of youroperation</t>
  </si>
  <si>
    <t>Information about twine</t>
  </si>
  <si>
    <t>Number of years baler will be used</t>
  </si>
  <si>
    <t>Twine or net wrap</t>
  </si>
  <si>
    <t xml:space="preserve">   Baler age in years</t>
  </si>
  <si>
    <t xml:space="preserve">   Bale width in inches</t>
  </si>
  <si>
    <t xml:space="preserve">   Bale height in inches (max. diameter if round bale)</t>
  </si>
  <si>
    <t xml:space="preserve">   Maximum bale length in inches (square bale only)</t>
  </si>
  <si>
    <t xml:space="preserve">   Accumulated number of bales on purchased baler</t>
  </si>
  <si>
    <t xml:space="preserve">   Estimated no. of hours on baler when purchase</t>
  </si>
  <si>
    <t xml:space="preserve">   Purchase price of baler w/o trade-in</t>
  </si>
  <si>
    <t xml:space="preserve">   Market price of baler</t>
  </si>
  <si>
    <t xml:space="preserve">   Cash downpayment</t>
  </si>
  <si>
    <t xml:space="preserve">   Estimated new equivalent price (NEP) of baler</t>
  </si>
  <si>
    <t xml:space="preserve">   No. of seasons (years) before trade (maximum 20)</t>
  </si>
  <si>
    <t xml:space="preserve">   Bale capacity:  max. no. of cu. ft. in bale</t>
  </si>
  <si>
    <t xml:space="preserve">   Expected bale density in lb per cu. ft.</t>
  </si>
  <si>
    <t xml:space="preserve">   User-input bale density in lb per cu. ft.</t>
  </si>
  <si>
    <t xml:space="preserve">   Diameter of round bale you will make in inches</t>
  </si>
  <si>
    <t xml:space="preserve">   Length of square bale you will make in inches</t>
  </si>
  <si>
    <t xml:space="preserve">   Cu. ft. of the bale you plan to make</t>
  </si>
  <si>
    <t xml:space="preserve">   Estimated weight of your bales in lb.</t>
  </si>
  <si>
    <t xml:space="preserve">   Average travel speed in mph when baling</t>
  </si>
  <si>
    <t xml:space="preserve">   Average swath width in feet when baling</t>
  </si>
  <si>
    <t xml:space="preserve">   Average crop yield in T/acre/operation</t>
  </si>
  <si>
    <t xml:space="preserve">   Acres per hour</t>
  </si>
  <si>
    <t xml:space="preserve">   Tons per hour</t>
  </si>
  <si>
    <t xml:space="preserve">   Expected no. of bales made by baler annually</t>
  </si>
  <si>
    <t xml:space="preserve">   Implied acres baled per year</t>
  </si>
  <si>
    <t xml:space="preserve">   Implied baler hours per year</t>
  </si>
  <si>
    <t xml:space="preserve">   Cost of twine or net wrap per bale for selected baler</t>
  </si>
  <si>
    <t>Tractor, labor, and fuel information</t>
  </si>
  <si>
    <t xml:space="preserve">   Expected tractor hours used in baling operation</t>
  </si>
  <si>
    <t xml:space="preserve">   Tractor rental rate in dollars per hourmeter hour</t>
  </si>
  <si>
    <t xml:space="preserve">   Total labor hours per tractor hourmeter hour</t>
  </si>
  <si>
    <t xml:space="preserve">   Tractor fuel consumption per hourmeter hour (gal.)</t>
  </si>
  <si>
    <t xml:space="preserve">   Minutes to make a bale</t>
  </si>
  <si>
    <t xml:space="preserve">   Number of twines per bale</t>
  </si>
  <si>
    <t xml:space="preserve">   Number of inches used for a knot</t>
  </si>
  <si>
    <t xml:space="preserve">   Feet of twine used per bale</t>
  </si>
  <si>
    <t xml:space="preserve">   No. of bales per 4,000 ft. ball of twine</t>
  </si>
  <si>
    <t xml:space="preserve">   Bales per hour</t>
  </si>
  <si>
    <t xml:space="preserve">   Labor cost per labor hour</t>
  </si>
  <si>
    <t xml:space="preserve">   Baler belt speed in feet per minute</t>
  </si>
  <si>
    <t xml:space="preserve">   Seconds per wrap for baler</t>
  </si>
  <si>
    <t xml:space="preserve">   No. of seconds delay before wrapping begins</t>
  </si>
  <si>
    <t xml:space="preserve">   Twine spacing in inches</t>
  </si>
  <si>
    <t xml:space="preserve">   Number of inches from end of bale for first wrap</t>
  </si>
  <si>
    <t xml:space="preserve">   Number of extra wraps at each end of the bale</t>
  </si>
  <si>
    <t xml:space="preserve">   Total number of wraps per bale</t>
  </si>
  <si>
    <t xml:space="preserve">   No. of bales per 20,000 ft. ball of twine</t>
  </si>
  <si>
    <t xml:space="preserve">   No. of seconds stopped to tie bale</t>
  </si>
  <si>
    <t xml:space="preserve">   Minutes to make, tie, and eject a bale</t>
  </si>
  <si>
    <t xml:space="preserve">   Number of wraps per bale</t>
  </si>
  <si>
    <t xml:space="preserve">   No. of bales per 7,000 ft. roll of net wrap</t>
  </si>
  <si>
    <t xml:space="preserve">   Total no. of seconds stopped to wrap bale</t>
  </si>
  <si>
    <t xml:space="preserve">   Minutes to make, wrap, and eject a bale</t>
  </si>
  <si>
    <t>Round (under 1500) twine</t>
  </si>
  <si>
    <t>Round (over 1500) twine</t>
  </si>
  <si>
    <t>Round (under 1500) net wrap</t>
  </si>
  <si>
    <t>Round (over 1500) net wrap</t>
  </si>
  <si>
    <t>Big square (about 1T)</t>
  </si>
  <si>
    <t>per bale</t>
  </si>
  <si>
    <t>guess at wt</t>
  </si>
  <si>
    <t>Round (over 1600+)</t>
  </si>
  <si>
    <t>Round (1100-1500)</t>
  </si>
  <si>
    <t>Round (&lt;1000)</t>
  </si>
  <si>
    <t>Square (large)</t>
  </si>
  <si>
    <t xml:space="preserve">   Tractor rental rate in dollars per hp per hour</t>
  </si>
  <si>
    <t xml:space="preserve">   PTO horsepower of tractor used on baler</t>
  </si>
  <si>
    <t>Bill Smith (Nov 04) said Vermeer 605M w/ net wrap would sell for $29,000</t>
  </si>
  <si>
    <t>My guess is that net wrap and related options are about $3,500</t>
  </si>
  <si>
    <t>After he uses it for one year (5000 bales) it will sell for $25,000</t>
  </si>
  <si>
    <t xml:space="preserve">   Expected tractor-hours-to-baler-hours ratio</t>
  </si>
  <si>
    <t>Financial information</t>
  </si>
  <si>
    <t xml:space="preserve">   Calculated after-tax discount rate</t>
  </si>
  <si>
    <t xml:space="preserve">   Self-employment tax (0 if corporation)</t>
  </si>
  <si>
    <t xml:space="preserve">   Section-179 deduction desired (you determine)</t>
  </si>
  <si>
    <t xml:space="preserve">   Bonus 1st-yr dep. On new equip. (yes=1, no=0)</t>
  </si>
  <si>
    <t xml:space="preserve">   Calculated bonus yr-1 depreciation</t>
  </si>
  <si>
    <t xml:space="preserve">   Calculated net $ amount to depreciate</t>
  </si>
  <si>
    <t xml:space="preserve">      1st year MACRS depreciation rate</t>
  </si>
  <si>
    <t xml:space="preserve">      2nd year MACRS depreciation rate</t>
  </si>
  <si>
    <t xml:space="preserve">      3rd year MACRS depreciation rate</t>
  </si>
  <si>
    <t xml:space="preserve">      4th year MACRS depreciation rate</t>
  </si>
  <si>
    <t xml:space="preserve">      5th year MACRS depreciation rate</t>
  </si>
  <si>
    <t xml:space="preserve">      6th year MACRS depreciation rate</t>
  </si>
  <si>
    <t xml:space="preserve">      7th year MACRS depreciation rate</t>
  </si>
  <si>
    <t xml:space="preserve">      8th year MACRS depreciation rate</t>
  </si>
  <si>
    <t xml:space="preserve">   Calculated error check of depreciation rates</t>
  </si>
  <si>
    <t xml:space="preserve">   Calculated after-tax amortization factor</t>
  </si>
  <si>
    <t xml:space="preserve">   Calculated 1-year after-tax discount factor</t>
  </si>
  <si>
    <t xml:space="preserve">   Calculated after-tax NPVc from TT section</t>
  </si>
  <si>
    <t xml:space="preserve">   Calculated after-tax amortized NPV from TT</t>
  </si>
  <si>
    <t xml:space="preserve">   Calculated pre-tax amortized NPV from TT</t>
  </si>
  <si>
    <t xml:space="preserve">      Prorated to opportunity interest</t>
  </si>
  <si>
    <t xml:space="preserve">      Prorated to market depreciation</t>
  </si>
  <si>
    <t xml:space="preserve">      Prorated to repairs</t>
  </si>
  <si>
    <t xml:space="preserve">      Prorated to tax, insurance, &amp; shelter (TIS)</t>
  </si>
  <si>
    <t>Miscellaneous</t>
  </si>
  <si>
    <t xml:space="preserve">   Trade ding (% of market value lost in a trade)</t>
  </si>
  <si>
    <t>Twine and net wrap section</t>
  </si>
  <si>
    <t>Hours put on tractor hourmeter per year</t>
  </si>
  <si>
    <t xml:space="preserve">   Baler class:  big round = 1;  big square = 2</t>
  </si>
  <si>
    <t xml:space="preserve">   Round bale only:  percent of bales with net wrap</t>
  </si>
  <si>
    <r>
      <t>Table 1.  Selected baler models and associated measurements</t>
    </r>
    <r>
      <rPr>
        <b/>
        <vertAlign val="superscript"/>
        <sz val="10"/>
        <rFont val="Arial"/>
        <family val="2"/>
      </rPr>
      <t>1</t>
    </r>
  </si>
  <si>
    <t xml:space="preserve">   Annual inflation % on machinery prices </t>
  </si>
  <si>
    <t xml:space="preserve">   Tax, insurance, &amp; shelter (TIS - % of value)</t>
  </si>
  <si>
    <t xml:space="preserve">   Bank interest rate (%)</t>
  </si>
  <si>
    <t xml:space="preserve">   State + U.S. marginal income tax rate (%)</t>
  </si>
  <si>
    <t xml:space="preserve">   Bonus depreciation allowed (%)</t>
  </si>
  <si>
    <t>avg mph when baling</t>
  </si>
  <si>
    <t>avg crop width baled in feet</t>
  </si>
  <si>
    <t>calculated acre/hr when moving</t>
  </si>
  <si>
    <t>avg crop yield in T/acre/operation</t>
  </si>
  <si>
    <t>avg wt of Vermeer 5x6 round bale in lb</t>
  </si>
  <si>
    <t>calculated bales per acre</t>
  </si>
  <si>
    <t>calculated no-stopping bales/hr</t>
  </si>
  <si>
    <t>minutes to make a bale</t>
  </si>
  <si>
    <t>total seconds stopped to wrap with twine</t>
  </si>
  <si>
    <t>total time in minutes per bale</t>
  </si>
  <si>
    <t>actual bales/hour</t>
  </si>
  <si>
    <t>actual acres/hour</t>
  </si>
  <si>
    <t>calculated tons per hour</t>
  </si>
  <si>
    <t>avg wt of 3x4 sq bale in lb</t>
  </si>
  <si>
    <t>calculated bales per hour</t>
  </si>
  <si>
    <t>Custom rate info to facilitate testing</t>
  </si>
  <si>
    <t>Red numbers are our inputs (don't want users changing any of this stuff)</t>
  </si>
  <si>
    <t>Information assumed for calculating hours from bale counts for purchased balers</t>
  </si>
  <si>
    <r>
      <t>2</t>
    </r>
    <r>
      <rPr>
        <b/>
        <sz val="10"/>
        <rFont val="Arial"/>
        <family val="2"/>
      </rPr>
      <t xml:space="preserve"> Can be approximately compared to custom rates for baling if cost of related vehicles such as pickups is added.</t>
    </r>
  </si>
  <si>
    <t xml:space="preserve">   Bales per acre per cutting</t>
  </si>
  <si>
    <t>Information pertaining to baler depreciation and repairs</t>
  </si>
  <si>
    <r>
      <t xml:space="preserve">Section just below is for </t>
    </r>
    <r>
      <rPr>
        <b/>
        <i/>
        <sz val="10"/>
        <color indexed="10"/>
        <rFont val="Arial"/>
        <family val="2"/>
      </rPr>
      <t>round bales using twine</t>
    </r>
    <r>
      <rPr>
        <b/>
        <i/>
        <sz val="10"/>
        <rFont val="Arial"/>
        <family val="2"/>
      </rPr>
      <t xml:space="preserve"> (twin tie)</t>
    </r>
  </si>
  <si>
    <r>
      <t xml:space="preserve">Section just below is for </t>
    </r>
    <r>
      <rPr>
        <b/>
        <i/>
        <sz val="10"/>
        <color indexed="10"/>
        <rFont val="Arial"/>
        <family val="2"/>
      </rPr>
      <t>round bales using net wrap</t>
    </r>
  </si>
  <si>
    <r>
      <t xml:space="preserve">   Cost of a 4,000 foot ball of </t>
    </r>
    <r>
      <rPr>
        <b/>
        <sz val="10"/>
        <color indexed="17"/>
        <rFont val="Arial"/>
        <family val="2"/>
      </rPr>
      <t>square baler</t>
    </r>
    <r>
      <rPr>
        <b/>
        <sz val="10"/>
        <rFont val="Arial"/>
        <family val="2"/>
      </rPr>
      <t xml:space="preserve"> twine, $</t>
    </r>
  </si>
  <si>
    <r>
      <t xml:space="preserve">   Cost of a 20,000 foot ball of </t>
    </r>
    <r>
      <rPr>
        <b/>
        <sz val="10"/>
        <color indexed="10"/>
        <rFont val="Arial"/>
        <family val="2"/>
      </rPr>
      <t>round baler</t>
    </r>
    <r>
      <rPr>
        <b/>
        <sz val="10"/>
        <rFont val="Arial"/>
        <family val="2"/>
      </rPr>
      <t xml:space="preserve"> twine, $</t>
    </r>
  </si>
  <si>
    <r>
      <t xml:space="preserve">   Cost of a 7,000 foot roll of </t>
    </r>
    <r>
      <rPr>
        <b/>
        <sz val="10"/>
        <color indexed="10"/>
        <rFont val="Arial"/>
        <family val="2"/>
      </rPr>
      <t>round baler</t>
    </r>
    <r>
      <rPr>
        <b/>
        <sz val="10"/>
        <rFont val="Arial"/>
        <family val="2"/>
      </rPr>
      <t xml:space="preserve"> net wrap, $</t>
    </r>
  </si>
  <si>
    <r>
      <t xml:space="preserve">Section just below is for </t>
    </r>
    <r>
      <rPr>
        <b/>
        <i/>
        <sz val="10"/>
        <color indexed="17"/>
        <rFont val="Arial"/>
        <family val="2"/>
      </rPr>
      <t>square bales</t>
    </r>
    <r>
      <rPr>
        <b/>
        <i/>
        <sz val="10"/>
        <rFont val="Arial"/>
        <family val="2"/>
      </rPr>
      <t xml:space="preserve"> only </t>
    </r>
  </si>
  <si>
    <r>
      <t xml:space="preserve">Section just below is for </t>
    </r>
    <r>
      <rPr>
        <b/>
        <i/>
        <sz val="10"/>
        <color indexed="10"/>
        <rFont val="Arial"/>
        <family val="2"/>
      </rPr>
      <t xml:space="preserve">round bales </t>
    </r>
    <r>
      <rPr>
        <b/>
        <i/>
        <sz val="10"/>
        <rFont val="Arial"/>
        <family val="2"/>
      </rPr>
      <t>only</t>
    </r>
  </si>
  <si>
    <t>604M</t>
  </si>
  <si>
    <t xml:space="preserve">   Repair adjustment factor (0.8-1.2, usually 1) (RAF)</t>
  </si>
  <si>
    <t>BR730A</t>
  </si>
  <si>
    <t>BR740A</t>
  </si>
  <si>
    <t>BR750</t>
  </si>
  <si>
    <t>BR750A</t>
  </si>
  <si>
    <t>BR780A</t>
  </si>
  <si>
    <t>605M</t>
  </si>
  <si>
    <t>2005 KAS custom rates are:</t>
  </si>
  <si>
    <t>Rental rates from Fall 2006 NAEDA</t>
  </si>
  <si>
    <t>NAEDA reported the same rental rates in 2006 as in 2005</t>
  </si>
  <si>
    <t>Information below is from Balers2006.123 spreadsheet</t>
  </si>
  <si>
    <t>Coefficients from lotus working spreadsheet (Balers2006.123)</t>
  </si>
  <si>
    <t>Extension Assistant</t>
  </si>
  <si>
    <t>BB9060</t>
  </si>
  <si>
    <t>BB9080</t>
  </si>
  <si>
    <t>AGCO Hesston  </t>
  </si>
  <si>
    <t>5456A</t>
  </si>
  <si>
    <t>5546A</t>
  </si>
  <si>
    <t>Gehl  </t>
  </si>
  <si>
    <t>854SS</t>
  </si>
  <si>
    <t>VP1800</t>
  </si>
  <si>
    <t>BR7050</t>
  </si>
  <si>
    <t>BR7060</t>
  </si>
  <si>
    <t>BR7070</t>
  </si>
  <si>
    <t>BR7090</t>
  </si>
  <si>
    <t xml:space="preserve">504M </t>
  </si>
  <si>
    <t>504M Classic</t>
  </si>
  <si>
    <t>505M Classic</t>
  </si>
  <si>
    <t>5400Rebel</t>
  </si>
  <si>
    <t>5410Rebel</t>
  </si>
  <si>
    <t>5500Rebel</t>
  </si>
  <si>
    <t>604SM</t>
  </si>
  <si>
    <t>605SM</t>
  </si>
  <si>
    <t>Bale width</t>
  </si>
  <si>
    <t>(inches)</t>
  </si>
  <si>
    <t>Bale height</t>
  </si>
  <si>
    <t>Rich Llewelyn</t>
  </si>
  <si>
    <t xml:space="preserve">   Section-179 allowance limit (set by law)</t>
  </si>
  <si>
    <t>KSU-Own Baler</t>
  </si>
  <si>
    <t>An Excel spreadsheet to evaluate the economic costs of owning and operating a large square or large round hay baler.</t>
  </si>
  <si>
    <t>Version- 6.30.16</t>
  </si>
  <si>
    <t>INSTRUCTIONS FOR THE USER:</t>
  </si>
  <si>
    <r>
      <t xml:space="preserve">Be sure to </t>
    </r>
    <r>
      <rPr>
        <b/>
        <sz val="12"/>
        <rFont val="Calibri"/>
        <family val="2"/>
        <scheme val="minor"/>
      </rPr>
      <t xml:space="preserve">"Enable Content" </t>
    </r>
    <r>
      <rPr>
        <sz val="12"/>
        <rFont val="Calibri"/>
        <family val="2"/>
        <scheme val="minor"/>
      </rPr>
      <t xml:space="preserve">and </t>
    </r>
    <r>
      <rPr>
        <b/>
        <sz val="12"/>
        <rFont val="Calibri"/>
        <family val="2"/>
        <scheme val="minor"/>
      </rPr>
      <t>"Enable Macros"</t>
    </r>
    <r>
      <rPr>
        <sz val="12"/>
        <rFont val="Calibri"/>
        <family val="2"/>
        <scheme val="minor"/>
      </rPr>
      <t xml:space="preserve"> for the spreadsheet to function correctly. This spreadsheet uses macros to print the three different pages, however printing can also be done manually by highlighting the desired range and using the menu print commands.</t>
    </r>
  </si>
  <si>
    <r>
      <t xml:space="preserve">In the "User input" tab all </t>
    </r>
    <r>
      <rPr>
        <b/>
        <sz val="12"/>
        <color rgb="FF0070C0"/>
        <rFont val="Calibri"/>
        <family val="2"/>
        <scheme val="minor"/>
      </rPr>
      <t>blue</t>
    </r>
    <r>
      <rPr>
        <sz val="12"/>
        <rFont val="Calibri"/>
        <family val="2"/>
        <scheme val="minor"/>
      </rPr>
      <t xml:space="preserve"> numbers are inputs and all black numbers are calculated from these inputs.  Several input cells (i.e., </t>
    </r>
    <r>
      <rPr>
        <b/>
        <sz val="12"/>
        <color rgb="FF0070C0"/>
        <rFont val="Calibri"/>
        <family val="2"/>
        <scheme val="minor"/>
      </rPr>
      <t>blue number</t>
    </r>
    <r>
      <rPr>
        <sz val="12"/>
        <rFont val="Calibri"/>
        <family val="2"/>
        <scheme val="minor"/>
      </rPr>
      <t xml:space="preserve">) have a </t>
    </r>
    <r>
      <rPr>
        <b/>
        <sz val="12"/>
        <color rgb="FFC00000"/>
        <rFont val="Calibri"/>
        <family val="2"/>
        <scheme val="minor"/>
      </rPr>
      <t xml:space="preserve">red diamond </t>
    </r>
    <r>
      <rPr>
        <sz val="12"/>
        <rFont val="Calibri"/>
        <family val="2"/>
        <scheme val="minor"/>
      </rPr>
      <t>in the upper right hand corner of the cell.  By moving your mouse cursor over this diamond, a brief description of the input will be displayed on the screen.</t>
    </r>
  </si>
  <si>
    <t>FOR MORE INFORMATION:</t>
  </si>
  <si>
    <t>For explanation of the inputs used in this spreadsheet see the supporting paper:</t>
  </si>
  <si>
    <t>Evaluating Baler Ownership with the Own Baler Spreadsheet</t>
  </si>
  <si>
    <t>*This publication provides information on how to use the tool, however some values in the tool have been updated since the paper was written.</t>
  </si>
  <si>
    <t>With Questions contact:</t>
  </si>
  <si>
    <t>Originally Developed by:</t>
  </si>
  <si>
    <t>Former Agricultural Economist</t>
  </si>
  <si>
    <t>rvl@ksu.edu</t>
  </si>
  <si>
    <t>785-532-1504</t>
  </si>
  <si>
    <t>Terry L. Kastens, Ph.D.</t>
  </si>
  <si>
    <t>Emeritus Agricultural Economist</t>
  </si>
  <si>
    <t>Copyright 2016 AgManager.info, K-State Department of Agricultural Economics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</si>
</sst>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409]#,##0"/>
    <numFmt numFmtId="165" formatCode="[$$-409]#,##0.00"/>
    <numFmt numFmtId="166" formatCode="0.0%"/>
    <numFmt numFmtId="167" formatCode="0.0000"/>
    <numFmt numFmtId="168" formatCode="&quot;$&quot;#,##0"/>
    <numFmt numFmtId="169" formatCode="&quot;$&quot;#,##0.00"/>
    <numFmt numFmtId="170" formatCode="m/d/yy"/>
    <numFmt numFmtId="171" formatCode="#,##0.0000"/>
    <numFmt numFmtId="172" formatCode="0.000000"/>
  </numFmts>
  <fonts count="43" x14ac:knownFonts="1">
    <font>
      <sz val="12"/>
      <name val="Arial"/>
    </font>
    <font>
      <b/>
      <sz val="10"/>
      <name val="Arial"/>
      <family val="2"/>
    </font>
    <font>
      <b/>
      <sz val="11"/>
      <name val="Arial"/>
      <family val="2"/>
    </font>
    <font>
      <sz val="11"/>
      <name val="Arial"/>
      <family val="2"/>
    </font>
    <font>
      <b/>
      <sz val="12"/>
      <name val="Arial"/>
      <family val="2"/>
    </font>
    <font>
      <b/>
      <sz val="10"/>
      <name val="Arial"/>
      <family val="2"/>
    </font>
    <font>
      <b/>
      <sz val="10"/>
      <color indexed="12"/>
      <name val="Arial"/>
      <family val="2"/>
    </font>
    <font>
      <sz val="10"/>
      <name val="Arial"/>
      <family val="2"/>
    </font>
    <font>
      <b/>
      <i/>
      <sz val="10"/>
      <name val="Arial"/>
      <family val="2"/>
    </font>
    <font>
      <b/>
      <i/>
      <sz val="10"/>
      <color indexed="10"/>
      <name val="Arial"/>
      <family val="2"/>
    </font>
    <font>
      <sz val="10"/>
      <color indexed="81"/>
      <name val="Tahoma"/>
      <family val="2"/>
    </font>
    <font>
      <b/>
      <u/>
      <sz val="10"/>
      <name val="Arial"/>
      <family val="2"/>
    </font>
    <font>
      <b/>
      <sz val="10"/>
      <color indexed="8"/>
      <name val="Arial"/>
      <family val="2"/>
    </font>
    <font>
      <sz val="10"/>
      <color indexed="81"/>
      <name val="Arial"/>
      <family val="2"/>
    </font>
    <font>
      <sz val="12"/>
      <name val="Arial"/>
      <family val="2"/>
    </font>
    <font>
      <b/>
      <vertAlign val="superscript"/>
      <sz val="10"/>
      <name val="Arial"/>
      <family val="2"/>
    </font>
    <font>
      <vertAlign val="superscript"/>
      <sz val="10"/>
      <name val="Arial"/>
      <family val="2"/>
    </font>
    <font>
      <sz val="10"/>
      <name val="Arial"/>
      <family val="2"/>
    </font>
    <font>
      <b/>
      <sz val="10"/>
      <color indexed="81"/>
      <name val="Tahoma"/>
      <family val="2"/>
    </font>
    <font>
      <b/>
      <sz val="10"/>
      <color indexed="10"/>
      <name val="Arial"/>
      <family val="2"/>
    </font>
    <font>
      <b/>
      <sz val="10"/>
      <color indexed="17"/>
      <name val="Arial"/>
      <family val="2"/>
    </font>
    <font>
      <b/>
      <i/>
      <sz val="10"/>
      <color indexed="17"/>
      <name val="Arial"/>
      <family val="2"/>
    </font>
    <font>
      <sz val="10"/>
      <color theme="1"/>
      <name val="Arial"/>
      <family val="2"/>
    </font>
    <font>
      <b/>
      <sz val="11"/>
      <color rgb="FF0000FF"/>
      <name val="Arial"/>
      <family val="2"/>
    </font>
    <font>
      <b/>
      <sz val="12"/>
      <color theme="0"/>
      <name val="Arial"/>
      <family val="2"/>
    </font>
    <font>
      <b/>
      <i/>
      <sz val="20"/>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sz val="10"/>
      <color theme="0"/>
      <name val="Calibri"/>
      <family val="2"/>
      <scheme val="minor"/>
    </font>
    <font>
      <sz val="10"/>
      <color theme="0"/>
      <name val="Arial"/>
      <family val="2"/>
    </font>
    <font>
      <b/>
      <sz val="9"/>
      <color theme="0"/>
      <name val="Arial"/>
      <family val="2"/>
    </font>
    <font>
      <b/>
      <sz val="11"/>
      <color theme="0"/>
      <name val="Arial"/>
      <family val="2"/>
    </font>
    <font>
      <b/>
      <i/>
      <sz val="12"/>
      <color theme="0"/>
      <name val="Arial"/>
      <family val="2"/>
    </font>
    <font>
      <b/>
      <u/>
      <sz val="12"/>
      <name val="Calibri"/>
      <family val="2"/>
      <scheme val="minor"/>
    </font>
    <font>
      <sz val="12"/>
      <name val="Calibri"/>
      <family val="2"/>
      <scheme val="minor"/>
    </font>
    <font>
      <b/>
      <sz val="12"/>
      <name val="Calibri"/>
      <family val="2"/>
      <scheme val="minor"/>
    </font>
    <font>
      <b/>
      <sz val="12"/>
      <color rgb="FF0070C0"/>
      <name val="Calibri"/>
      <family val="2"/>
      <scheme val="minor"/>
    </font>
    <font>
      <b/>
      <sz val="12"/>
      <color rgb="FFC00000"/>
      <name val="Calibri"/>
      <family val="2"/>
      <scheme val="minor"/>
    </font>
    <font>
      <u/>
      <sz val="10"/>
      <color indexed="12"/>
      <name val="Arial"/>
      <family val="2"/>
    </font>
    <font>
      <i/>
      <sz val="10"/>
      <name val="Arial"/>
      <family val="2"/>
    </font>
    <font>
      <u/>
      <sz val="12"/>
      <color indexed="12"/>
      <name val="Calibri"/>
      <family val="2"/>
      <scheme val="minor"/>
    </font>
  </fonts>
  <fills count="6">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theme="0"/>
        <bgColor indexed="64"/>
      </patternFill>
    </fill>
    <fill>
      <patternFill patternType="solid">
        <fgColor rgb="FF7030A0"/>
        <bgColor indexed="64"/>
      </patternFill>
    </fill>
  </fills>
  <borders count="26">
    <border>
      <left/>
      <right/>
      <top/>
      <bottom/>
      <diagonal/>
    </border>
    <border>
      <left/>
      <right/>
      <top/>
      <bottom style="medium">
        <color indexed="8"/>
      </bottom>
      <diagonal/>
    </border>
    <border>
      <left/>
      <right/>
      <top/>
      <bottom style="thin">
        <color indexed="8"/>
      </bottom>
      <diagonal/>
    </border>
    <border>
      <left/>
      <right/>
      <top/>
      <bottom style="thin">
        <color indexed="64"/>
      </bottom>
      <diagonal/>
    </border>
    <border>
      <left/>
      <right/>
      <top/>
      <bottom style="medium">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7" fillId="0" borderId="0"/>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cellStyleXfs>
  <cellXfs count="247">
    <xf numFmtId="0" fontId="0" fillId="0" borderId="0" xfId="0"/>
    <xf numFmtId="0" fontId="2" fillId="0" borderId="0" xfId="0" applyFont="1"/>
    <xf numFmtId="0" fontId="5" fillId="0" borderId="0" xfId="0" applyFont="1"/>
    <xf numFmtId="0" fontId="5" fillId="0" borderId="0" xfId="0" applyNumberFormat="1" applyFont="1" applyBorder="1" applyAlignment="1">
      <alignment horizontal="left"/>
    </xf>
    <xf numFmtId="0" fontId="5" fillId="0" borderId="0" xfId="0" applyNumberFormat="1" applyFont="1" applyAlignment="1"/>
    <xf numFmtId="0" fontId="5" fillId="0" borderId="0" xfId="0" applyNumberFormat="1" applyFont="1" applyAlignment="1">
      <alignment horizontal="fill"/>
    </xf>
    <xf numFmtId="0" fontId="5" fillId="0" borderId="0" xfId="0" applyNumberFormat="1" applyFont="1" applyAlignment="1">
      <alignment horizontal="right"/>
    </xf>
    <xf numFmtId="165" fontId="5" fillId="0" borderId="0" xfId="0" applyNumberFormat="1" applyFont="1"/>
    <xf numFmtId="0" fontId="5" fillId="0" borderId="0" xfId="0" applyNumberFormat="1" applyFont="1" applyAlignment="1">
      <alignment horizontal="center"/>
    </xf>
    <xf numFmtId="167" fontId="5" fillId="0" borderId="0" xfId="0" applyNumberFormat="1" applyFont="1"/>
    <xf numFmtId="10" fontId="5" fillId="0" borderId="0" xfId="0" applyNumberFormat="1" applyFont="1"/>
    <xf numFmtId="0" fontId="5" fillId="0" borderId="0" xfId="0" applyFont="1" applyBorder="1"/>
    <xf numFmtId="0" fontId="5" fillId="0" borderId="1" xfId="0" applyNumberFormat="1" applyFont="1" applyBorder="1" applyAlignment="1"/>
    <xf numFmtId="0" fontId="5" fillId="0" borderId="1" xfId="0" applyNumberFormat="1" applyFont="1" applyBorder="1" applyAlignment="1">
      <alignment horizontal="fill"/>
    </xf>
    <xf numFmtId="0" fontId="5" fillId="0" borderId="1" xfId="0" applyFont="1" applyBorder="1"/>
    <xf numFmtId="0" fontId="5" fillId="0" borderId="1" xfId="0" applyNumberFormat="1" applyFont="1" applyBorder="1" applyAlignment="1">
      <alignment horizontal="center"/>
    </xf>
    <xf numFmtId="3" fontId="5" fillId="0" borderId="1" xfId="0" applyNumberFormat="1" applyFont="1" applyBorder="1" applyAlignment="1"/>
    <xf numFmtId="4" fontId="5" fillId="0" borderId="1" xfId="0" applyNumberFormat="1" applyFont="1" applyBorder="1" applyAlignment="1"/>
    <xf numFmtId="0" fontId="5" fillId="0" borderId="0" xfId="0" quotePrefix="1" applyNumberFormat="1" applyFont="1" applyAlignment="1">
      <alignment horizontal="fill"/>
    </xf>
    <xf numFmtId="3" fontId="9" fillId="0" borderId="0" xfId="0" quotePrefix="1" applyNumberFormat="1" applyFont="1" applyAlignment="1">
      <alignment horizontal="left"/>
    </xf>
    <xf numFmtId="0" fontId="5" fillId="0" borderId="0" xfId="0" applyNumberFormat="1" applyFont="1"/>
    <xf numFmtId="0" fontId="5" fillId="0" borderId="0" xfId="0" applyNumberFormat="1" applyFont="1" applyBorder="1" applyAlignment="1"/>
    <xf numFmtId="0" fontId="5" fillId="0" borderId="0" xfId="0" applyNumberFormat="1" applyFont="1" applyBorder="1" applyAlignment="1">
      <alignment horizontal="fill"/>
    </xf>
    <xf numFmtId="164" fontId="5" fillId="0" borderId="0" xfId="0" applyNumberFormat="1" applyFont="1"/>
    <xf numFmtId="0" fontId="5" fillId="0" borderId="2" xfId="0" applyNumberFormat="1" applyFont="1" applyBorder="1" applyAlignment="1">
      <alignment horizontal="center"/>
    </xf>
    <xf numFmtId="168" fontId="5" fillId="0" borderId="0" xfId="0" applyNumberFormat="1" applyFont="1"/>
    <xf numFmtId="168" fontId="5" fillId="0" borderId="0" xfId="0" applyNumberFormat="1" applyFont="1" applyAlignment="1"/>
    <xf numFmtId="168" fontId="5" fillId="0" borderId="0" xfId="0" applyNumberFormat="1" applyFont="1" applyAlignment="1">
      <alignment horizontal="right"/>
    </xf>
    <xf numFmtId="3" fontId="5" fillId="0" borderId="0" xfId="0" applyNumberFormat="1" applyFont="1" applyAlignment="1">
      <alignment horizontal="right"/>
    </xf>
    <xf numFmtId="167" fontId="5" fillId="0" borderId="0" xfId="0" applyNumberFormat="1" applyFont="1" applyAlignment="1">
      <alignment horizontal="center"/>
    </xf>
    <xf numFmtId="10" fontId="5" fillId="0" borderId="0" xfId="0" applyNumberFormat="1" applyFont="1" applyAlignment="1"/>
    <xf numFmtId="0" fontId="5" fillId="0" borderId="3" xfId="0" applyNumberFormat="1" applyFont="1" applyBorder="1" applyAlignment="1">
      <alignment horizontal="center"/>
    </xf>
    <xf numFmtId="165" fontId="5" fillId="0" borderId="0" xfId="0" applyNumberFormat="1" applyFont="1" applyAlignment="1">
      <alignment horizontal="right"/>
    </xf>
    <xf numFmtId="0" fontId="1" fillId="0" borderId="0" xfId="0" applyFont="1"/>
    <xf numFmtId="0" fontId="1" fillId="0" borderId="0" xfId="0" applyFont="1" applyBorder="1"/>
    <xf numFmtId="0" fontId="5" fillId="0" borderId="4" xfId="0" applyNumberFormat="1" applyFont="1" applyBorder="1" applyAlignment="1">
      <alignment horizontal="left"/>
    </xf>
    <xf numFmtId="0" fontId="5" fillId="0" borderId="4" xfId="0" applyNumberFormat="1" applyFont="1" applyBorder="1" applyAlignment="1">
      <alignment horizontal="fill"/>
    </xf>
    <xf numFmtId="0" fontId="5" fillId="0" borderId="4" xfId="0" applyNumberFormat="1" applyFont="1" applyBorder="1" applyAlignment="1"/>
    <xf numFmtId="170" fontId="5" fillId="0" borderId="0" xfId="0" applyNumberFormat="1" applyFont="1" applyAlignment="1">
      <alignment horizontal="center"/>
    </xf>
    <xf numFmtId="0" fontId="5" fillId="0" borderId="0" xfId="0" applyNumberFormat="1" applyFont="1" applyBorder="1" applyAlignment="1">
      <alignment horizontal="center"/>
    </xf>
    <xf numFmtId="164" fontId="5" fillId="0" borderId="0" xfId="0" quotePrefix="1" applyNumberFormat="1" applyFont="1"/>
    <xf numFmtId="0" fontId="6" fillId="2" borderId="0" xfId="0" applyNumberFormat="1" applyFont="1" applyFill="1" applyAlignment="1" applyProtection="1">
      <protection locked="0"/>
    </xf>
    <xf numFmtId="164" fontId="6" fillId="2" borderId="0" xfId="0" applyNumberFormat="1" applyFont="1" applyFill="1" applyAlignment="1" applyProtection="1">
      <protection locked="0"/>
    </xf>
    <xf numFmtId="2" fontId="6" fillId="2" borderId="0" xfId="0" applyNumberFormat="1" applyFont="1" applyFill="1" applyAlignment="1" applyProtection="1">
      <protection locked="0"/>
    </xf>
    <xf numFmtId="10" fontId="6" fillId="2" borderId="0" xfId="0" applyNumberFormat="1" applyFont="1" applyFill="1" applyAlignment="1" applyProtection="1">
      <protection locked="0"/>
    </xf>
    <xf numFmtId="9" fontId="6" fillId="2" borderId="0" xfId="0" applyNumberFormat="1" applyFont="1" applyFill="1" applyAlignment="1" applyProtection="1">
      <protection locked="0"/>
    </xf>
    <xf numFmtId="166" fontId="6" fillId="2" borderId="0" xfId="0" applyNumberFormat="1" applyFont="1" applyFill="1" applyAlignment="1" applyProtection="1">
      <protection locked="0"/>
    </xf>
    <xf numFmtId="168" fontId="1" fillId="0" borderId="0" xfId="0" applyNumberFormat="1" applyFont="1"/>
    <xf numFmtId="0" fontId="11" fillId="0" borderId="0" xfId="0" applyNumberFormat="1" applyFont="1" applyAlignment="1">
      <alignment horizontal="right"/>
    </xf>
    <xf numFmtId="3" fontId="9" fillId="0" borderId="0" xfId="0" applyNumberFormat="1" applyFont="1" applyAlignment="1">
      <alignment horizontal="centerContinuous"/>
    </xf>
    <xf numFmtId="0" fontId="5" fillId="0" borderId="0" xfId="0" applyFont="1" applyAlignment="1">
      <alignment horizontal="centerContinuous"/>
    </xf>
    <xf numFmtId="0" fontId="5" fillId="0" borderId="0" xfId="0" applyNumberFormat="1" applyFont="1" applyAlignment="1">
      <alignment horizontal="centerContinuous"/>
    </xf>
    <xf numFmtId="10" fontId="5" fillId="0" borderId="0" xfId="0" quotePrefix="1" applyNumberFormat="1" applyFont="1" applyAlignment="1">
      <alignment horizontal="right"/>
    </xf>
    <xf numFmtId="165" fontId="5" fillId="0" borderId="0" xfId="0" applyNumberFormat="1" applyFont="1" applyAlignment="1">
      <alignment horizontal="center"/>
    </xf>
    <xf numFmtId="164" fontId="5" fillId="0" borderId="0" xfId="0" applyNumberFormat="1" applyFont="1" applyAlignment="1">
      <alignment horizontal="centerContinuous"/>
    </xf>
    <xf numFmtId="0" fontId="12" fillId="0" borderId="0" xfId="0" applyNumberFormat="1" applyFont="1" applyAlignment="1"/>
    <xf numFmtId="165" fontId="5" fillId="0" borderId="0" xfId="0" quotePrefix="1" applyNumberFormat="1" applyFont="1"/>
    <xf numFmtId="168" fontId="5" fillId="0" borderId="0" xfId="0" quotePrefix="1" applyNumberFormat="1" applyFont="1"/>
    <xf numFmtId="3" fontId="5" fillId="0" borderId="0" xfId="0" applyNumberFormat="1" applyFont="1"/>
    <xf numFmtId="168" fontId="5" fillId="0" borderId="0" xfId="0" quotePrefix="1" applyNumberFormat="1" applyFont="1" applyAlignment="1"/>
    <xf numFmtId="0" fontId="5" fillId="0" borderId="0" xfId="0" applyNumberFormat="1" applyFont="1" applyBorder="1" applyAlignment="1">
      <alignment horizontal="right"/>
    </xf>
    <xf numFmtId="169" fontId="6" fillId="2" borderId="0" xfId="0" applyNumberFormat="1" applyFont="1" applyFill="1" applyAlignment="1" applyProtection="1">
      <protection locked="0"/>
    </xf>
    <xf numFmtId="0" fontId="5" fillId="0" borderId="3" xfId="0" applyNumberFormat="1" applyFont="1" applyBorder="1" applyAlignment="1"/>
    <xf numFmtId="3" fontId="5" fillId="0" borderId="0" xfId="0" applyNumberFormat="1" applyFont="1" applyAlignment="1"/>
    <xf numFmtId="0" fontId="15" fillId="0" borderId="0" xfId="0" applyNumberFormat="1" applyFont="1" applyAlignment="1"/>
    <xf numFmtId="0" fontId="16" fillId="0" borderId="0" xfId="0" applyNumberFormat="1" applyFont="1" applyAlignment="1"/>
    <xf numFmtId="169" fontId="5" fillId="0" borderId="0" xfId="0" applyNumberFormat="1" applyFont="1"/>
    <xf numFmtId="0" fontId="7" fillId="0" borderId="0" xfId="0" applyFont="1" applyBorder="1"/>
    <xf numFmtId="0" fontId="17" fillId="0" borderId="0" xfId="0" applyFont="1"/>
    <xf numFmtId="0" fontId="17" fillId="0" borderId="0" xfId="0" applyFont="1" applyAlignment="1">
      <alignment horizontal="center"/>
    </xf>
    <xf numFmtId="3" fontId="6" fillId="2" borderId="0" xfId="0" applyNumberFormat="1" applyFont="1" applyFill="1" applyAlignment="1" applyProtection="1">
      <protection locked="0"/>
    </xf>
    <xf numFmtId="0" fontId="7" fillId="0" borderId="0" xfId="0" applyNumberFormat="1" applyFont="1" applyBorder="1" applyAlignment="1"/>
    <xf numFmtId="0" fontId="7" fillId="0" borderId="0" xfId="0" applyNumberFormat="1" applyFont="1" applyAlignment="1"/>
    <xf numFmtId="1" fontId="5" fillId="0" borderId="0" xfId="0" applyNumberFormat="1" applyFont="1" applyAlignment="1"/>
    <xf numFmtId="2" fontId="5" fillId="0" borderId="0" xfId="0" applyNumberFormat="1" applyFont="1" applyAlignment="1"/>
    <xf numFmtId="0" fontId="8" fillId="0" borderId="0" xfId="0" applyNumberFormat="1" applyFont="1" applyAlignment="1"/>
    <xf numFmtId="2" fontId="5" fillId="0" borderId="0" xfId="0" quotePrefix="1" applyNumberFormat="1" applyFont="1" applyAlignment="1"/>
    <xf numFmtId="0" fontId="7" fillId="0" borderId="0" xfId="0" applyNumberFormat="1" applyFont="1" applyAlignment="1">
      <alignment horizontal="center"/>
    </xf>
    <xf numFmtId="2" fontId="5" fillId="0" borderId="0" xfId="0" applyNumberFormat="1" applyFont="1" applyAlignment="1">
      <alignment horizontal="center"/>
    </xf>
    <xf numFmtId="1" fontId="5" fillId="0" borderId="0" xfId="0" applyNumberFormat="1" applyFont="1" applyAlignment="1">
      <alignment horizontal="center"/>
    </xf>
    <xf numFmtId="169" fontId="1" fillId="0" borderId="0" xfId="0" applyNumberFormat="1" applyFont="1"/>
    <xf numFmtId="0" fontId="8" fillId="0" borderId="0" xfId="0" applyNumberFormat="1" applyFont="1" applyAlignment="1">
      <alignment horizontal="center"/>
    </xf>
    <xf numFmtId="169" fontId="5" fillId="0" borderId="0" xfId="0" applyNumberFormat="1" applyFont="1" applyAlignment="1"/>
    <xf numFmtId="0" fontId="8" fillId="0" borderId="0" xfId="0" applyNumberFormat="1" applyFont="1" applyAlignment="1">
      <alignment horizontal="left"/>
    </xf>
    <xf numFmtId="171" fontId="5" fillId="0" borderId="0" xfId="0" applyNumberFormat="1" applyFont="1" applyAlignment="1"/>
    <xf numFmtId="171" fontId="5" fillId="0" borderId="0" xfId="0" applyNumberFormat="1" applyFont="1"/>
    <xf numFmtId="9" fontId="5" fillId="0" borderId="0" xfId="0" applyNumberFormat="1" applyFont="1" applyAlignment="1"/>
    <xf numFmtId="167" fontId="5" fillId="0" borderId="0" xfId="0" applyNumberFormat="1" applyFont="1" applyBorder="1"/>
    <xf numFmtId="9" fontId="6" fillId="2" borderId="0" xfId="0" applyNumberFormat="1" applyFont="1" applyFill="1" applyBorder="1" applyAlignment="1" applyProtection="1">
      <protection locked="0"/>
    </xf>
    <xf numFmtId="168" fontId="5" fillId="0" borderId="0" xfId="0" applyNumberFormat="1" applyFont="1" applyBorder="1"/>
    <xf numFmtId="0" fontId="5" fillId="0" borderId="0" xfId="0" applyFont="1" applyAlignment="1">
      <alignment horizontal="center"/>
    </xf>
    <xf numFmtId="2" fontId="5" fillId="0" borderId="0" xfId="0" applyNumberFormat="1" applyFont="1" applyBorder="1" applyAlignment="1">
      <alignment horizontal="center"/>
    </xf>
    <xf numFmtId="0" fontId="17" fillId="0" borderId="0" xfId="0" applyFont="1" applyBorder="1"/>
    <xf numFmtId="0" fontId="17" fillId="0" borderId="0" xfId="0" applyFont="1" applyBorder="1" applyAlignment="1">
      <alignment horizontal="center"/>
    </xf>
    <xf numFmtId="0" fontId="17" fillId="0" borderId="1" xfId="0" applyFont="1" applyBorder="1" applyAlignment="1">
      <alignment horizontal="center"/>
    </xf>
    <xf numFmtId="0" fontId="5" fillId="0" borderId="0" xfId="0" applyNumberFormat="1" applyFont="1" applyFill="1" applyBorder="1" applyAlignment="1"/>
    <xf numFmtId="0" fontId="12" fillId="0" borderId="3" xfId="0" applyNumberFormat="1" applyFont="1" applyBorder="1" applyAlignment="1"/>
    <xf numFmtId="2" fontId="5" fillId="0" borderId="3" xfId="0" applyNumberFormat="1" applyFont="1" applyBorder="1" applyAlignment="1">
      <alignment horizontal="center"/>
    </xf>
    <xf numFmtId="1" fontId="5" fillId="0" borderId="3" xfId="0" applyNumberFormat="1" applyFont="1" applyBorder="1" applyAlignment="1">
      <alignment horizontal="center"/>
    </xf>
    <xf numFmtId="0" fontId="8" fillId="0" borderId="1" xfId="0" applyNumberFormat="1" applyFont="1" applyBorder="1" applyAlignment="1"/>
    <xf numFmtId="3" fontId="9" fillId="0" borderId="0" xfId="0" applyNumberFormat="1" applyFont="1" applyBorder="1"/>
    <xf numFmtId="2" fontId="5" fillId="0" borderId="0" xfId="0" applyNumberFormat="1" applyFont="1" applyBorder="1" applyAlignment="1"/>
    <xf numFmtId="2" fontId="5" fillId="0" borderId="0" xfId="0" applyNumberFormat="1" applyFont="1" applyAlignment="1">
      <alignment horizontal="right"/>
    </xf>
    <xf numFmtId="2" fontId="5" fillId="0" borderId="0" xfId="0" applyNumberFormat="1" applyFont="1" applyBorder="1" applyAlignment="1">
      <alignment horizontal="right"/>
    </xf>
    <xf numFmtId="172" fontId="5" fillId="0" borderId="0" xfId="0" applyNumberFormat="1" applyFont="1" applyBorder="1" applyAlignment="1"/>
    <xf numFmtId="172" fontId="5" fillId="0" borderId="3" xfId="0" applyNumberFormat="1" applyFont="1" applyBorder="1" applyAlignment="1"/>
    <xf numFmtId="172" fontId="5" fillId="0" borderId="0" xfId="0" applyNumberFormat="1" applyFont="1" applyBorder="1" applyAlignment="1">
      <alignment horizontal="right"/>
    </xf>
    <xf numFmtId="0" fontId="6" fillId="2" borderId="4" xfId="0" applyNumberFormat="1" applyFont="1" applyFill="1" applyBorder="1" applyAlignment="1" applyProtection="1">
      <protection locked="0"/>
    </xf>
    <xf numFmtId="0" fontId="5" fillId="0" borderId="4" xfId="0" applyFont="1" applyBorder="1"/>
    <xf numFmtId="2" fontId="5" fillId="0" borderId="4" xfId="0" applyNumberFormat="1" applyFont="1" applyBorder="1" applyAlignment="1">
      <alignment horizontal="right"/>
    </xf>
    <xf numFmtId="2" fontId="7" fillId="0" borderId="0" xfId="0" quotePrefix="1" applyNumberFormat="1" applyFont="1" applyBorder="1" applyAlignment="1"/>
    <xf numFmtId="2" fontId="7" fillId="0" borderId="0" xfId="0" applyNumberFormat="1" applyFont="1" applyBorder="1" applyAlignment="1"/>
    <xf numFmtId="0" fontId="0" fillId="4" borderId="0" xfId="0" applyFill="1"/>
    <xf numFmtId="0" fontId="0" fillId="4" borderId="0" xfId="0" applyFill="1" applyBorder="1"/>
    <xf numFmtId="0" fontId="5" fillId="4" borderId="0" xfId="0" applyNumberFormat="1" applyFont="1" applyFill="1" applyAlignment="1"/>
    <xf numFmtId="0" fontId="5" fillId="4" borderId="0" xfId="0" applyFont="1" applyFill="1" applyBorder="1"/>
    <xf numFmtId="0" fontId="5" fillId="4" borderId="5" xfId="0" applyFont="1" applyFill="1" applyBorder="1"/>
    <xf numFmtId="0" fontId="7" fillId="4" borderId="6" xfId="0" applyFont="1" applyFill="1" applyBorder="1" applyAlignment="1">
      <alignment horizontal="center"/>
    </xf>
    <xf numFmtId="0" fontId="7" fillId="4" borderId="6" xfId="0" applyNumberFormat="1" applyFont="1" applyFill="1" applyBorder="1" applyAlignment="1">
      <alignment horizontal="center"/>
    </xf>
    <xf numFmtId="0" fontId="7" fillId="4" borderId="7" xfId="0" applyFont="1" applyFill="1" applyBorder="1" applyAlignment="1">
      <alignment horizontal="center"/>
    </xf>
    <xf numFmtId="0" fontId="7" fillId="4" borderId="0" xfId="0" applyNumberFormat="1" applyFont="1" applyFill="1" applyAlignment="1">
      <alignment horizontal="center"/>
    </xf>
    <xf numFmtId="0" fontId="5" fillId="4" borderId="0" xfId="0" applyNumberFormat="1" applyFont="1" applyFill="1" applyBorder="1" applyAlignment="1"/>
    <xf numFmtId="0" fontId="7" fillId="4" borderId="8" xfId="0" applyFont="1" applyFill="1" applyBorder="1"/>
    <xf numFmtId="0" fontId="7" fillId="4" borderId="0" xfId="0" applyFont="1" applyFill="1" applyBorder="1"/>
    <xf numFmtId="0" fontId="7" fillId="4" borderId="0" xfId="0" applyNumberFormat="1" applyFont="1" applyFill="1" applyBorder="1" applyAlignment="1"/>
    <xf numFmtId="2" fontId="19" fillId="4" borderId="0" xfId="0" applyNumberFormat="1" applyFont="1" applyFill="1" applyBorder="1"/>
    <xf numFmtId="0" fontId="19" fillId="4" borderId="0" xfId="0" applyNumberFormat="1" applyFont="1" applyFill="1" applyBorder="1" applyAlignment="1"/>
    <xf numFmtId="14" fontId="19" fillId="4" borderId="9" xfId="0" applyNumberFormat="1" applyFont="1" applyFill="1" applyBorder="1"/>
    <xf numFmtId="0" fontId="19" fillId="4" borderId="0" xfId="0" applyNumberFormat="1" applyFont="1" applyFill="1" applyAlignment="1">
      <alignment horizontal="center"/>
    </xf>
    <xf numFmtId="0" fontId="7" fillId="4" borderId="10" xfId="0" applyFont="1" applyFill="1" applyBorder="1"/>
    <xf numFmtId="0" fontId="7" fillId="4" borderId="2" xfId="0" applyFont="1" applyFill="1" applyBorder="1"/>
    <xf numFmtId="0" fontId="7" fillId="4" borderId="2" xfId="0" applyNumberFormat="1" applyFont="1" applyFill="1" applyBorder="1" applyAlignment="1"/>
    <xf numFmtId="2" fontId="19" fillId="4" borderId="2" xfId="0" applyNumberFormat="1" applyFont="1" applyFill="1" applyBorder="1"/>
    <xf numFmtId="0" fontId="19" fillId="4" borderId="2" xfId="0" applyNumberFormat="1" applyFont="1" applyFill="1" applyBorder="1" applyAlignment="1"/>
    <xf numFmtId="0" fontId="7" fillId="4" borderId="5" xfId="0" applyNumberFormat="1" applyFont="1" applyFill="1" applyBorder="1" applyAlignment="1">
      <alignment horizontal="left"/>
    </xf>
    <xf numFmtId="0" fontId="0" fillId="4" borderId="6" xfId="0" applyFill="1" applyBorder="1"/>
    <xf numFmtId="0" fontId="5" fillId="4" borderId="6" xfId="0" applyFont="1" applyFill="1" applyBorder="1"/>
    <xf numFmtId="0" fontId="19" fillId="4" borderId="7" xfId="0" applyNumberFormat="1" applyFont="1" applyFill="1" applyBorder="1" applyAlignment="1"/>
    <xf numFmtId="0" fontId="7" fillId="4" borderId="11" xfId="0" applyFont="1" applyFill="1" applyBorder="1" applyAlignment="1">
      <alignment horizontal="left"/>
    </xf>
    <xf numFmtId="0" fontId="0" fillId="4" borderId="12" xfId="0" applyFill="1" applyBorder="1"/>
    <xf numFmtId="0" fontId="5" fillId="4" borderId="12" xfId="0" applyFont="1" applyFill="1" applyBorder="1"/>
    <xf numFmtId="0" fontId="19" fillId="4" borderId="13" xfId="0" applyFont="1" applyFill="1" applyBorder="1"/>
    <xf numFmtId="0" fontId="7" fillId="4" borderId="8" xfId="0" applyNumberFormat="1" applyFont="1" applyFill="1" applyBorder="1" applyAlignment="1">
      <alignment horizontal="left"/>
    </xf>
    <xf numFmtId="0" fontId="19" fillId="4" borderId="9" xfId="0" applyNumberFormat="1" applyFont="1" applyFill="1" applyBorder="1" applyAlignment="1"/>
    <xf numFmtId="0" fontId="7" fillId="4" borderId="14" xfId="0" applyFont="1" applyFill="1" applyBorder="1" applyAlignment="1">
      <alignment horizontal="left"/>
    </xf>
    <xf numFmtId="0" fontId="19" fillId="4" borderId="15" xfId="0" applyFont="1" applyFill="1" applyBorder="1"/>
    <xf numFmtId="0" fontId="7" fillId="4" borderId="9" xfId="0" applyNumberFormat="1" applyFont="1" applyFill="1" applyBorder="1" applyAlignment="1"/>
    <xf numFmtId="0" fontId="7" fillId="4" borderId="15" xfId="0" applyFont="1" applyFill="1" applyBorder="1"/>
    <xf numFmtId="0" fontId="7" fillId="4" borderId="14" xfId="0" applyNumberFormat="1" applyFont="1" applyFill="1" applyBorder="1" applyAlignment="1">
      <alignment horizontal="left"/>
    </xf>
    <xf numFmtId="0" fontId="7" fillId="4" borderId="15" xfId="0" applyNumberFormat="1" applyFont="1" applyFill="1" applyBorder="1" applyAlignment="1"/>
    <xf numFmtId="0" fontId="7" fillId="4" borderId="16" xfId="0" applyNumberFormat="1" applyFont="1" applyFill="1" applyBorder="1" applyAlignment="1">
      <alignment horizontal="left"/>
    </xf>
    <xf numFmtId="0" fontId="0" fillId="4" borderId="3" xfId="0" applyFill="1" applyBorder="1"/>
    <xf numFmtId="0" fontId="5" fillId="4" borderId="3" xfId="0" applyFont="1" applyFill="1" applyBorder="1"/>
    <xf numFmtId="0" fontId="7" fillId="4" borderId="17" xfId="0" applyNumberFormat="1" applyFont="1" applyFill="1" applyBorder="1" applyAlignment="1"/>
    <xf numFmtId="0" fontId="7" fillId="4" borderId="10" xfId="0" applyNumberFormat="1" applyFont="1" applyFill="1" applyBorder="1" applyAlignment="1">
      <alignment horizontal="left"/>
    </xf>
    <xf numFmtId="0" fontId="0" fillId="4" borderId="2" xfId="0" applyFill="1" applyBorder="1"/>
    <xf numFmtId="0" fontId="5" fillId="4" borderId="2" xfId="0" applyFont="1" applyFill="1" applyBorder="1"/>
    <xf numFmtId="0" fontId="7" fillId="4" borderId="18" xfId="0" applyNumberFormat="1" applyFont="1" applyFill="1" applyBorder="1" applyAlignment="1"/>
    <xf numFmtId="0" fontId="7" fillId="4" borderId="0" xfId="0" applyNumberFormat="1" applyFont="1" applyFill="1" applyAlignment="1">
      <alignment horizontal="left"/>
    </xf>
    <xf numFmtId="0" fontId="5" fillId="4" borderId="0" xfId="0" applyFont="1" applyFill="1"/>
    <xf numFmtId="0" fontId="7" fillId="4" borderId="0" xfId="0" applyNumberFormat="1" applyFont="1" applyFill="1" applyAlignment="1"/>
    <xf numFmtId="0" fontId="7" fillId="4" borderId="6" xfId="0" applyFont="1" applyFill="1" applyBorder="1"/>
    <xf numFmtId="0" fontId="7" fillId="4" borderId="7" xfId="0" applyNumberFormat="1" applyFont="1" applyFill="1" applyBorder="1" applyAlignment="1">
      <alignment horizontal="center"/>
    </xf>
    <xf numFmtId="169" fontId="7" fillId="4" borderId="0" xfId="0" applyNumberFormat="1" applyFont="1" applyFill="1" applyBorder="1" applyAlignment="1"/>
    <xf numFmtId="169" fontId="5" fillId="4" borderId="9" xfId="0" applyNumberFormat="1" applyFont="1" applyFill="1" applyBorder="1" applyAlignment="1"/>
    <xf numFmtId="0" fontId="5" fillId="4" borderId="8" xfId="0" applyFont="1" applyFill="1" applyBorder="1"/>
    <xf numFmtId="0" fontId="7" fillId="4" borderId="0" xfId="0" applyNumberFormat="1" applyFont="1" applyFill="1" applyBorder="1" applyAlignment="1">
      <alignment horizontal="center"/>
    </xf>
    <xf numFmtId="0" fontId="5" fillId="4" borderId="9" xfId="0" applyNumberFormat="1" applyFont="1" applyFill="1" applyBorder="1" applyAlignment="1"/>
    <xf numFmtId="0" fontId="7" fillId="4" borderId="8" xfId="0" applyNumberFormat="1" applyFont="1" applyFill="1" applyBorder="1" applyAlignment="1"/>
    <xf numFmtId="0" fontId="7" fillId="4" borderId="10" xfId="0" applyNumberFormat="1" applyFont="1" applyFill="1" applyBorder="1" applyAlignment="1"/>
    <xf numFmtId="0" fontId="5" fillId="4" borderId="2" xfId="0" applyNumberFormat="1" applyFont="1" applyFill="1" applyBorder="1" applyAlignment="1"/>
    <xf numFmtId="169" fontId="7" fillId="4" borderId="2" xfId="0" applyNumberFormat="1" applyFont="1" applyFill="1" applyBorder="1" applyAlignment="1"/>
    <xf numFmtId="169" fontId="5" fillId="4" borderId="18" xfId="0" applyNumberFormat="1" applyFont="1" applyFill="1" applyBorder="1" applyAlignment="1"/>
    <xf numFmtId="0" fontId="5" fillId="4" borderId="8" xfId="0" applyNumberFormat="1" applyFont="1" applyFill="1" applyBorder="1" applyAlignment="1"/>
    <xf numFmtId="0" fontId="5" fillId="4" borderId="10" xfId="0" applyNumberFormat="1" applyFont="1" applyFill="1" applyBorder="1" applyAlignment="1"/>
    <xf numFmtId="0" fontId="5" fillId="4" borderId="18" xfId="0" applyNumberFormat="1" applyFont="1" applyFill="1" applyBorder="1" applyAlignment="1"/>
    <xf numFmtId="0" fontId="22" fillId="0" borderId="0" xfId="0" applyNumberFormat="1" applyFont="1" applyAlignment="1"/>
    <xf numFmtId="0" fontId="22" fillId="0" borderId="0" xfId="0" applyNumberFormat="1" applyFont="1" applyAlignment="1">
      <alignment horizontal="center"/>
    </xf>
    <xf numFmtId="0" fontId="3" fillId="0" borderId="0" xfId="0" applyFont="1" applyAlignment="1">
      <alignment horizontal="center"/>
    </xf>
    <xf numFmtId="0" fontId="4" fillId="0" borderId="0" xfId="0" applyFont="1" applyBorder="1"/>
    <xf numFmtId="0" fontId="4" fillId="0" borderId="0" xfId="0" applyFont="1" applyBorder="1" applyAlignment="1">
      <alignment horizontal="center"/>
    </xf>
    <xf numFmtId="0" fontId="4" fillId="0" borderId="1" xfId="0" applyFont="1" applyBorder="1"/>
    <xf numFmtId="0" fontId="4" fillId="0" borderId="1" xfId="0" applyFont="1" applyBorder="1" applyAlignment="1">
      <alignment horizontal="center"/>
    </xf>
    <xf numFmtId="0" fontId="7" fillId="0" borderId="0" xfId="0" applyFont="1"/>
    <xf numFmtId="0" fontId="7" fillId="0" borderId="0" xfId="0" applyFont="1" applyAlignment="1">
      <alignment horizontal="center"/>
    </xf>
    <xf numFmtId="0" fontId="7" fillId="0" borderId="0" xfId="0" quotePrefix="1" applyNumberFormat="1" applyFont="1" applyAlignment="1">
      <alignment horizontal="center"/>
    </xf>
    <xf numFmtId="0" fontId="7" fillId="0" borderId="0" xfId="0" applyFont="1" applyBorder="1" applyAlignment="1">
      <alignment horizontal="center"/>
    </xf>
    <xf numFmtId="0" fontId="7" fillId="0" borderId="0" xfId="0" applyFont="1" applyBorder="1" applyAlignment="1">
      <alignment horizontal="center" wrapText="1"/>
    </xf>
    <xf numFmtId="0" fontId="7" fillId="0" borderId="4" xfId="0" applyNumberFormat="1" applyFont="1" applyBorder="1" applyAlignment="1"/>
    <xf numFmtId="0" fontId="7" fillId="0" borderId="4" xfId="0" applyNumberFormat="1" applyFont="1" applyBorder="1" applyAlignment="1">
      <alignment horizontal="center"/>
    </xf>
    <xf numFmtId="0" fontId="7" fillId="0" borderId="4" xfId="0" applyFont="1" applyBorder="1" applyAlignment="1">
      <alignment horizontal="center"/>
    </xf>
    <xf numFmtId="0" fontId="5" fillId="0" borderId="3" xfId="0" applyNumberFormat="1" applyFont="1" applyFill="1" applyBorder="1" applyAlignment="1">
      <alignment horizontal="left"/>
    </xf>
    <xf numFmtId="0" fontId="14" fillId="0" borderId="3" xfId="0" applyFont="1" applyFill="1" applyBorder="1" applyAlignment="1"/>
    <xf numFmtId="0" fontId="7" fillId="0" borderId="0" xfId="1" applyProtection="1"/>
    <xf numFmtId="0" fontId="24" fillId="5" borderId="20" xfId="1" applyFont="1" applyFill="1" applyBorder="1" applyProtection="1"/>
    <xf numFmtId="0" fontId="24" fillId="5" borderId="21" xfId="1" applyFont="1" applyFill="1" applyBorder="1" applyProtection="1"/>
    <xf numFmtId="0" fontId="26" fillId="5" borderId="0" xfId="1" applyFont="1" applyFill="1" applyBorder="1" applyProtection="1"/>
    <xf numFmtId="0" fontId="24" fillId="5" borderId="0" xfId="1" applyFont="1" applyFill="1" applyBorder="1" applyProtection="1"/>
    <xf numFmtId="0" fontId="24" fillId="5" borderId="23" xfId="1" applyFont="1" applyFill="1" applyBorder="1" applyProtection="1"/>
    <xf numFmtId="0" fontId="26" fillId="5" borderId="22" xfId="1" applyFont="1" applyFill="1" applyBorder="1" applyProtection="1"/>
    <xf numFmtId="0" fontId="27" fillId="5" borderId="0" xfId="1" applyFont="1" applyFill="1" applyBorder="1" applyAlignment="1" applyProtection="1">
      <alignment horizontal="left"/>
    </xf>
    <xf numFmtId="0" fontId="28" fillId="5" borderId="0" xfId="1" applyFont="1" applyFill="1" applyAlignment="1" applyProtection="1">
      <alignment horizontal="left"/>
    </xf>
    <xf numFmtId="0" fontId="29" fillId="5" borderId="0" xfId="1" applyFont="1" applyFill="1" applyAlignment="1" applyProtection="1"/>
    <xf numFmtId="0" fontId="26" fillId="5" borderId="22" xfId="1" applyFont="1" applyFill="1" applyBorder="1" applyAlignment="1" applyProtection="1">
      <alignment horizontal="left" wrapText="1"/>
    </xf>
    <xf numFmtId="0" fontId="30" fillId="5" borderId="0" xfId="1" applyFont="1" applyFill="1" applyAlignment="1" applyProtection="1">
      <alignment wrapText="1"/>
    </xf>
    <xf numFmtId="0" fontId="30" fillId="5" borderId="22" xfId="1" applyFont="1" applyFill="1" applyBorder="1" applyAlignment="1" applyProtection="1">
      <alignment wrapText="1"/>
    </xf>
    <xf numFmtId="0" fontId="24" fillId="5" borderId="22" xfId="1" applyFont="1" applyFill="1" applyBorder="1" applyAlignment="1" applyProtection="1">
      <alignment horizontal="center"/>
    </xf>
    <xf numFmtId="0" fontId="31" fillId="5" borderId="0" xfId="1" applyFont="1" applyFill="1" applyAlignment="1" applyProtection="1">
      <alignment wrapText="1"/>
    </xf>
    <xf numFmtId="0" fontId="32" fillId="5" borderId="0" xfId="1" applyFont="1" applyFill="1" applyBorder="1" applyProtection="1"/>
    <xf numFmtId="0" fontId="33" fillId="5" borderId="23" xfId="1" applyFont="1" applyFill="1" applyBorder="1" applyProtection="1"/>
    <xf numFmtId="0" fontId="24" fillId="5" borderId="24" xfId="1" applyFont="1" applyFill="1" applyBorder="1" applyProtection="1"/>
    <xf numFmtId="0" fontId="34" fillId="5" borderId="4" xfId="1" applyFont="1" applyFill="1" applyBorder="1" applyAlignment="1" applyProtection="1">
      <alignment horizontal="right"/>
    </xf>
    <xf numFmtId="0" fontId="31" fillId="5" borderId="4" xfId="1" applyFont="1" applyFill="1" applyBorder="1" applyAlignment="1" applyProtection="1">
      <alignment horizontal="right"/>
    </xf>
    <xf numFmtId="14" fontId="34" fillId="5" borderId="4" xfId="1" applyNumberFormat="1" applyFont="1" applyFill="1" applyBorder="1" applyAlignment="1" applyProtection="1">
      <alignment horizontal="left"/>
    </xf>
    <xf numFmtId="0" fontId="31" fillId="5" borderId="4" xfId="1" applyFont="1" applyFill="1" applyBorder="1" applyAlignment="1" applyProtection="1">
      <alignment horizontal="left"/>
    </xf>
    <xf numFmtId="0" fontId="24" fillId="5" borderId="4" xfId="1" applyFont="1" applyFill="1" applyBorder="1" applyProtection="1"/>
    <xf numFmtId="0" fontId="32" fillId="5" borderId="4" xfId="1" applyFont="1" applyFill="1" applyBorder="1" applyProtection="1"/>
    <xf numFmtId="0" fontId="34" fillId="5" borderId="25" xfId="1" applyFont="1" applyFill="1" applyBorder="1" applyAlignment="1" applyProtection="1">
      <alignment horizontal="right"/>
    </xf>
    <xf numFmtId="0" fontId="4" fillId="0" borderId="0" xfId="1" applyFont="1" applyProtection="1"/>
    <xf numFmtId="0" fontId="4" fillId="0" borderId="0" xfId="1" applyFont="1" applyFill="1" applyBorder="1" applyProtection="1"/>
    <xf numFmtId="0" fontId="35" fillId="0" borderId="0" xfId="1" applyFont="1" applyAlignment="1" applyProtection="1"/>
    <xf numFmtId="0" fontId="36" fillId="0" borderId="0" xfId="1" applyFont="1" applyAlignment="1" applyProtection="1"/>
    <xf numFmtId="0" fontId="37" fillId="0" borderId="0" xfId="1" applyFont="1" applyProtection="1"/>
    <xf numFmtId="0" fontId="37" fillId="0" borderId="0" xfId="1" applyFont="1" applyFill="1" applyProtection="1"/>
    <xf numFmtId="0" fontId="36" fillId="0" borderId="0" xfId="1" applyFont="1" applyAlignment="1" applyProtection="1">
      <alignment horizontal="left" wrapText="1"/>
    </xf>
    <xf numFmtId="0" fontId="35" fillId="0" borderId="0" xfId="1" applyFont="1" applyProtection="1"/>
    <xf numFmtId="0" fontId="36" fillId="0" borderId="0" xfId="1" applyFont="1" applyProtection="1"/>
    <xf numFmtId="0" fontId="36" fillId="3" borderId="0" xfId="1" applyFont="1" applyFill="1"/>
    <xf numFmtId="0" fontId="41" fillId="3" borderId="0" xfId="2" applyFont="1" applyFill="1" applyAlignment="1" applyProtection="1">
      <alignment horizontal="left" vertical="top" wrapText="1"/>
    </xf>
    <xf numFmtId="0" fontId="40" fillId="3" borderId="0" xfId="2" applyFill="1" applyAlignment="1" applyProtection="1">
      <alignment horizontal="left"/>
    </xf>
    <xf numFmtId="0" fontId="36" fillId="0" borderId="0" xfId="1" applyFont="1" applyAlignment="1" applyProtection="1">
      <alignment horizontal="left" vertical="center" wrapText="1"/>
    </xf>
    <xf numFmtId="0" fontId="36" fillId="0" borderId="0" xfId="1" applyFont="1" applyAlignment="1" applyProtection="1">
      <alignment vertical="center" wrapText="1"/>
    </xf>
    <xf numFmtId="0" fontId="36" fillId="0" borderId="0" xfId="1" applyFont="1" applyAlignment="1" applyProtection="1">
      <alignment horizontal="center"/>
    </xf>
    <xf numFmtId="0" fontId="42" fillId="0" borderId="0" xfId="2" applyFont="1" applyAlignment="1" applyProtection="1"/>
    <xf numFmtId="0" fontId="42" fillId="0" borderId="0" xfId="3" applyFont="1" applyAlignment="1" applyProtection="1"/>
    <xf numFmtId="0" fontId="42" fillId="0" borderId="0" xfId="2" applyFont="1" applyAlignment="1" applyProtection="1"/>
    <xf numFmtId="0" fontId="36" fillId="0" borderId="0" xfId="3" applyFont="1" applyFill="1" applyAlignment="1" applyProtection="1"/>
    <xf numFmtId="0" fontId="36" fillId="0" borderId="0" xfId="1" applyFont="1" applyFill="1" applyAlignment="1" applyProtection="1"/>
    <xf numFmtId="0" fontId="36" fillId="0" borderId="0" xfId="1" applyFont="1" applyAlignment="1" applyProtection="1"/>
    <xf numFmtId="0" fontId="37" fillId="0" borderId="0" xfId="1" applyFont="1" applyAlignment="1" applyProtection="1">
      <alignment horizontal="left" wrapText="1"/>
    </xf>
    <xf numFmtId="0" fontId="37" fillId="0" borderId="0" xfId="1" applyFont="1" applyAlignment="1" applyProtection="1">
      <alignment horizontal="left" wrapText="1"/>
    </xf>
    <xf numFmtId="0" fontId="36" fillId="0" borderId="0" xfId="1" applyFont="1" applyAlignment="1" applyProtection="1">
      <alignment horizontal="left" wrapText="1"/>
    </xf>
    <xf numFmtId="0" fontId="40" fillId="3" borderId="0" xfId="2" applyFill="1" applyAlignment="1" applyProtection="1">
      <alignment horizontal="left"/>
    </xf>
    <xf numFmtId="0" fontId="25" fillId="5" borderId="19" xfId="1" applyFont="1" applyFill="1" applyBorder="1" applyAlignment="1" applyProtection="1">
      <alignment horizontal="left"/>
    </xf>
    <xf numFmtId="0" fontId="25" fillId="5" borderId="20" xfId="1" applyFont="1" applyFill="1" applyBorder="1" applyAlignment="1" applyProtection="1">
      <alignment horizontal="left"/>
    </xf>
    <xf numFmtId="0" fontId="25" fillId="5" borderId="22" xfId="1" applyFont="1" applyFill="1" applyBorder="1" applyAlignment="1" applyProtection="1">
      <alignment horizontal="left"/>
    </xf>
    <xf numFmtId="0" fontId="25" fillId="5" borderId="0" xfId="1" applyFont="1" applyFill="1" applyBorder="1" applyAlignment="1" applyProtection="1">
      <alignment horizontal="left"/>
    </xf>
  </cellXfs>
  <cellStyles count="4">
    <cellStyle name="Hyperlink 2" xfId="2"/>
    <cellStyle name="Hyperlink_K-State Vegetative Buffer" xfId="3"/>
    <cellStyle name="Normal" xfId="0" builtinId="0"/>
    <cellStyle name="Normal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www.AgManager.info" TargetMode="External"/><Relationship Id="rId6" Type="http://schemas.openxmlformats.org/officeDocument/2006/relationships/hyperlink" Target="http://www.agmanager.info/farmmgt/machinery/Tools/OwnBaler.pdf" TargetMode="External"/><Relationship Id="rId5" Type="http://schemas.openxmlformats.org/officeDocument/2006/relationships/hyperlink" Target="http://www.ageconomics.k-state.edu/" TargetMode="External"/><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11</xdr:col>
      <xdr:colOff>414129</xdr:colOff>
      <xdr:row>1</xdr:row>
      <xdr:rowOff>51766</xdr:rowOff>
    </xdr:from>
    <xdr:to>
      <xdr:col>11</xdr:col>
      <xdr:colOff>1491735</xdr:colOff>
      <xdr:row>6</xdr:row>
      <xdr:rowOff>45065</xdr:rowOff>
    </xdr:to>
    <xdr:pic>
      <xdr:nvPicPr>
        <xdr:cNvPr id="19" name="Picture 18">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48254" y="185116"/>
          <a:ext cx="1077606" cy="945799"/>
        </a:xfrm>
        <a:prstGeom prst="rect">
          <a:avLst/>
        </a:prstGeom>
      </xdr:spPr>
    </xdr:pic>
    <xdr:clientData/>
  </xdr:twoCellAnchor>
  <xdr:twoCellAnchor editAs="oneCell">
    <xdr:from>
      <xdr:col>0</xdr:col>
      <xdr:colOff>176007</xdr:colOff>
      <xdr:row>52</xdr:row>
      <xdr:rowOff>0</xdr:rowOff>
    </xdr:from>
    <xdr:to>
      <xdr:col>6</xdr:col>
      <xdr:colOff>196713</xdr:colOff>
      <xdr:row>55</xdr:row>
      <xdr:rowOff>47218</xdr:rowOff>
    </xdr:to>
    <xdr:pic>
      <xdr:nvPicPr>
        <xdr:cNvPr id="20" name="Picture 1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76007" y="10163175"/>
          <a:ext cx="3306831" cy="618718"/>
        </a:xfrm>
        <a:prstGeom prst="rect">
          <a:avLst/>
        </a:prstGeom>
      </xdr:spPr>
    </xdr:pic>
    <xdr:clientData/>
  </xdr:twoCellAnchor>
  <xdr:twoCellAnchor editAs="oneCell">
    <xdr:from>
      <xdr:col>1</xdr:col>
      <xdr:colOff>0</xdr:colOff>
      <xdr:row>8</xdr:row>
      <xdr:rowOff>20706</xdr:rowOff>
    </xdr:from>
    <xdr:to>
      <xdr:col>12</xdr:col>
      <xdr:colOff>683</xdr:colOff>
      <xdr:row>23</xdr:row>
      <xdr:rowOff>127544</xdr:rowOff>
    </xdr:to>
    <xdr:pic>
      <xdr:nvPicPr>
        <xdr:cNvPr id="21" name="Picture 20"/>
        <xdr:cNvPicPr>
          <a:picLocks/>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43018" b="-1"/>
        <a:stretch/>
      </xdr:blipFill>
      <xdr:spPr>
        <a:xfrm>
          <a:off x="240862" y="1520620"/>
          <a:ext cx="7653528" cy="2898648"/>
        </a:xfrm>
        <a:prstGeom prst="rect">
          <a:avLst/>
        </a:prstGeom>
        <a:ln>
          <a:solidFill>
            <a:sysClr val="windowText" lastClr="000000"/>
          </a:solidFill>
        </a:ln>
      </xdr:spPr>
    </xdr:pic>
    <xdr:clientData/>
  </xdr:twoCellAnchor>
  <xdr:twoCellAnchor editAs="oneCell">
    <xdr:from>
      <xdr:col>9</xdr:col>
      <xdr:colOff>81635</xdr:colOff>
      <xdr:row>21</xdr:row>
      <xdr:rowOff>4402</xdr:rowOff>
    </xdr:from>
    <xdr:to>
      <xdr:col>11</xdr:col>
      <xdr:colOff>1510385</xdr:colOff>
      <xdr:row>23</xdr:row>
      <xdr:rowOff>125505</xdr:rowOff>
    </xdr:to>
    <xdr:pic>
      <xdr:nvPicPr>
        <xdr:cNvPr id="22" name="Picture 21">
          <a:hlinkClick xmlns:r="http://schemas.openxmlformats.org/officeDocument/2006/relationships" r:id="rId5"/>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227325" y="3923885"/>
          <a:ext cx="2654957" cy="493344"/>
        </a:xfrm>
        <a:prstGeom prst="rect">
          <a:avLst/>
        </a:prstGeom>
      </xdr:spPr>
    </xdr:pic>
    <xdr:clientData/>
  </xdr:twoCellAnchor>
  <xdr:twoCellAnchor>
    <xdr:from>
      <xdr:col>10</xdr:col>
      <xdr:colOff>0</xdr:colOff>
      <xdr:row>37</xdr:row>
      <xdr:rowOff>0</xdr:rowOff>
    </xdr:from>
    <xdr:to>
      <xdr:col>11</xdr:col>
      <xdr:colOff>1259671</xdr:colOff>
      <xdr:row>47</xdr:row>
      <xdr:rowOff>159483</xdr:rowOff>
    </xdr:to>
    <xdr:pic>
      <xdr:nvPicPr>
        <xdr:cNvPr id="23" name="Picture 12">
          <a:hlinkClick xmlns:r="http://schemas.openxmlformats.org/officeDocument/2006/relationships" r:id="rId6"/>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31876" t="16000" r="29765" b="4625"/>
        <a:stretch>
          <a:fillRect/>
        </a:stretch>
      </xdr:blipFill>
      <xdr:spPr bwMode="auto">
        <a:xfrm>
          <a:off x="5724525" y="7058025"/>
          <a:ext cx="1869271" cy="2293083"/>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xdr:row>
          <xdr:rowOff>66675</xdr:rowOff>
        </xdr:from>
        <xdr:to>
          <xdr:col>11</xdr:col>
          <xdr:colOff>800100</xdr:colOff>
          <xdr:row>2</xdr:row>
          <xdr:rowOff>123825</xdr:rowOff>
        </xdr:to>
        <xdr:sp macro="" textlink="">
          <xdr:nvSpPr>
            <xdr:cNvPr id="2066" name="Button 18" hidden="1">
              <a:extLst>
                <a:ext uri="{63B3BB69-23CF-44E3-9099-C40C66FF867C}">
                  <a14:compatExt spid="_x0000_s206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FF"/>
                  </a:solidFill>
                  <a:latin typeface="Arial"/>
                  <a:cs typeface="Arial"/>
                </a:rPr>
                <a:t>Print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152400</xdr:colOff>
          <xdr:row>2</xdr:row>
          <xdr:rowOff>66675</xdr:rowOff>
        </xdr:from>
        <xdr:to>
          <xdr:col>2</xdr:col>
          <xdr:colOff>495300</xdr:colOff>
          <xdr:row>3</xdr:row>
          <xdr:rowOff>123825</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FF"/>
                  </a:solidFill>
                  <a:latin typeface="Arial"/>
                  <a:cs typeface="Arial"/>
                </a:rPr>
                <a:t>Print    Range("B2:L49").Select</a:t>
              </a:r>
            </a:p>
            <a:p>
              <a:pPr algn="ctr" rtl="0">
                <a:defRPr sz="1000"/>
              </a:pPr>
              <a:r>
                <a:rPr lang="en-US" sz="1100" b="1" i="0" u="none" strike="noStrike" baseline="0">
                  <a:solidFill>
                    <a:srgbClr val="0000FF"/>
                  </a:solidFill>
                  <a:latin typeface="Arial"/>
                  <a:cs typeface="Arial"/>
                </a:rPr>
                <a:t>    Selection.PrintOutButton 2</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76200</xdr:colOff>
          <xdr:row>1</xdr:row>
          <xdr:rowOff>47625</xdr:rowOff>
        </xdr:from>
        <xdr:to>
          <xdr:col>8</xdr:col>
          <xdr:colOff>819150</xdr:colOff>
          <xdr:row>2</xdr:row>
          <xdr:rowOff>95250</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FF"/>
                  </a:solidFill>
                  <a:latin typeface="Arial"/>
                  <a:cs typeface="Arial"/>
                </a:rPr>
                <a:t>Print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gmanager.info/farmmgt/machinery/Tools/OwnBaler.pdf" TargetMode="External"/><Relationship Id="rId1" Type="http://schemas.openxmlformats.org/officeDocument/2006/relationships/hyperlink" Target="mailto:rvl@ksu.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318"/>
  <sheetViews>
    <sheetView showGridLines="0" tabSelected="1" zoomScale="87" workbookViewId="0">
      <selection activeCell="R28" sqref="R28"/>
    </sheetView>
  </sheetViews>
  <sheetFormatPr defaultRowHeight="15" x14ac:dyDescent="0.2"/>
  <cols>
    <col min="1" max="1" width="2.77734375" style="112" customWidth="1"/>
    <col min="2" max="11" width="7.109375" style="112" customWidth="1"/>
    <col min="12" max="12" width="17.77734375" style="112" customWidth="1"/>
    <col min="13" max="16384" width="8.88671875" style="112"/>
  </cols>
  <sheetData>
    <row r="1" spans="1:12" ht="15.75" thickBot="1" x14ac:dyDescent="0.25">
      <c r="A1" s="193"/>
      <c r="B1" s="193"/>
      <c r="C1" s="193"/>
      <c r="D1" s="193"/>
      <c r="E1" s="193"/>
      <c r="F1" s="193"/>
      <c r="G1" s="193"/>
      <c r="H1" s="193"/>
      <c r="I1" s="193"/>
      <c r="J1" s="193"/>
      <c r="K1" s="193"/>
      <c r="L1" s="193"/>
    </row>
    <row r="2" spans="1:12" ht="15.6" customHeight="1" x14ac:dyDescent="0.25">
      <c r="A2" s="193"/>
      <c r="B2" s="243" t="s">
        <v>332</v>
      </c>
      <c r="C2" s="244"/>
      <c r="D2" s="244"/>
      <c r="E2" s="244"/>
      <c r="F2" s="244"/>
      <c r="G2" s="244"/>
      <c r="H2" s="194"/>
      <c r="I2" s="194"/>
      <c r="J2" s="194"/>
      <c r="K2" s="194"/>
      <c r="L2" s="195"/>
    </row>
    <row r="3" spans="1:12" ht="15.6" customHeight="1" x14ac:dyDescent="0.25">
      <c r="A3" s="193"/>
      <c r="B3" s="245"/>
      <c r="C3" s="246"/>
      <c r="D3" s="246"/>
      <c r="E3" s="246"/>
      <c r="F3" s="246"/>
      <c r="G3" s="246"/>
      <c r="H3" s="196"/>
      <c r="I3" s="196"/>
      <c r="J3" s="197"/>
      <c r="K3" s="197"/>
      <c r="L3" s="198"/>
    </row>
    <row r="4" spans="1:12" ht="15.6" customHeight="1" x14ac:dyDescent="0.3">
      <c r="A4" s="193"/>
      <c r="B4" s="199"/>
      <c r="C4" s="200"/>
      <c r="D4" s="201"/>
      <c r="E4" s="201"/>
      <c r="F4" s="202"/>
      <c r="G4" s="202"/>
      <c r="H4" s="196"/>
      <c r="I4" s="196"/>
      <c r="J4" s="197"/>
      <c r="K4" s="197"/>
      <c r="L4" s="198"/>
    </row>
    <row r="5" spans="1:12" ht="15.6" customHeight="1" x14ac:dyDescent="0.25">
      <c r="A5" s="193"/>
      <c r="B5" s="203" t="s">
        <v>333</v>
      </c>
      <c r="C5" s="204"/>
      <c r="D5" s="204"/>
      <c r="E5" s="204"/>
      <c r="F5" s="204"/>
      <c r="G5" s="204"/>
      <c r="H5" s="204"/>
      <c r="I5" s="204"/>
      <c r="J5" s="197"/>
      <c r="K5" s="197"/>
      <c r="L5" s="198"/>
    </row>
    <row r="6" spans="1:12" ht="15.6" customHeight="1" x14ac:dyDescent="0.25">
      <c r="A6" s="193"/>
      <c r="B6" s="205"/>
      <c r="C6" s="204"/>
      <c r="D6" s="204"/>
      <c r="E6" s="204"/>
      <c r="F6" s="204"/>
      <c r="G6" s="204"/>
      <c r="H6" s="204"/>
      <c r="I6" s="204"/>
      <c r="J6" s="197"/>
      <c r="K6" s="197"/>
      <c r="L6" s="198"/>
    </row>
    <row r="7" spans="1:12" ht="15.6" customHeight="1" x14ac:dyDescent="0.25">
      <c r="A7" s="193"/>
      <c r="B7" s="206"/>
      <c r="C7" s="207"/>
      <c r="D7" s="207"/>
      <c r="E7" s="207"/>
      <c r="F7" s="207"/>
      <c r="G7" s="207"/>
      <c r="H7" s="207"/>
      <c r="I7" s="197"/>
      <c r="J7" s="197"/>
      <c r="K7" s="208"/>
      <c r="L7" s="209"/>
    </row>
    <row r="8" spans="1:12" ht="15.6" customHeight="1" thickBot="1" x14ac:dyDescent="0.3">
      <c r="A8" s="193"/>
      <c r="B8" s="210"/>
      <c r="C8" s="211"/>
      <c r="D8" s="212"/>
      <c r="E8" s="213"/>
      <c r="F8" s="214"/>
      <c r="G8" s="215"/>
      <c r="H8" s="215"/>
      <c r="I8" s="215"/>
      <c r="J8" s="215"/>
      <c r="K8" s="216"/>
      <c r="L8" s="217" t="s">
        <v>334</v>
      </c>
    </row>
    <row r="9" spans="1:12" ht="15.6" customHeight="1" x14ac:dyDescent="0.25">
      <c r="A9" s="193"/>
      <c r="B9" s="218"/>
      <c r="C9" s="218"/>
      <c r="D9" s="218"/>
      <c r="E9" s="218"/>
      <c r="F9" s="218"/>
      <c r="G9" s="219"/>
      <c r="H9" s="218"/>
      <c r="I9" s="218"/>
      <c r="J9" s="218"/>
      <c r="K9" s="218"/>
      <c r="L9" s="218"/>
    </row>
    <row r="10" spans="1:12" ht="15.6" customHeight="1" x14ac:dyDescent="0.2">
      <c r="A10" s="193"/>
      <c r="B10" s="193"/>
      <c r="C10" s="193"/>
      <c r="D10" s="193"/>
      <c r="E10" s="193"/>
      <c r="F10" s="193"/>
      <c r="G10" s="193"/>
      <c r="H10" s="193"/>
      <c r="I10" s="193"/>
      <c r="J10" s="193"/>
      <c r="K10" s="193"/>
      <c r="L10" s="193"/>
    </row>
    <row r="11" spans="1:12" ht="15.6" customHeight="1" x14ac:dyDescent="0.2">
      <c r="A11" s="193"/>
      <c r="B11" s="193"/>
      <c r="C11" s="193"/>
      <c r="D11" s="193"/>
      <c r="E11" s="193"/>
      <c r="F11" s="193"/>
      <c r="G11" s="193"/>
      <c r="H11" s="193"/>
      <c r="I11" s="193"/>
      <c r="J11" s="193"/>
      <c r="K11" s="193"/>
      <c r="L11" s="193"/>
    </row>
    <row r="12" spans="1:12" ht="15.6" customHeight="1" x14ac:dyDescent="0.2">
      <c r="A12" s="193"/>
      <c r="B12" s="193"/>
      <c r="C12" s="193"/>
      <c r="D12" s="193"/>
      <c r="E12" s="193"/>
      <c r="F12" s="193"/>
      <c r="G12" s="193"/>
      <c r="H12" s="193"/>
      <c r="I12" s="193"/>
      <c r="J12" s="193"/>
      <c r="K12" s="193"/>
      <c r="L12" s="193"/>
    </row>
    <row r="13" spans="1:12" ht="15.6" customHeight="1" x14ac:dyDescent="0.2">
      <c r="A13" s="193"/>
      <c r="B13" s="193"/>
      <c r="C13" s="193"/>
      <c r="D13" s="193"/>
      <c r="E13" s="193"/>
      <c r="F13" s="193"/>
      <c r="G13" s="193"/>
      <c r="H13" s="193"/>
      <c r="I13" s="193"/>
      <c r="J13" s="193"/>
      <c r="K13" s="193"/>
      <c r="L13" s="193"/>
    </row>
    <row r="14" spans="1:12" ht="15.6" customHeight="1" x14ac:dyDescent="0.2">
      <c r="A14" s="193"/>
      <c r="B14" s="193"/>
      <c r="C14" s="193"/>
      <c r="D14" s="193"/>
      <c r="E14" s="193"/>
      <c r="F14" s="193"/>
      <c r="G14" s="193"/>
      <c r="H14" s="193"/>
      <c r="I14" s="193"/>
      <c r="J14" s="193"/>
      <c r="K14" s="193"/>
      <c r="L14" s="193"/>
    </row>
    <row r="15" spans="1:12" ht="15.6" customHeight="1" x14ac:dyDescent="0.2">
      <c r="A15" s="193"/>
      <c r="B15" s="193"/>
      <c r="C15" s="193"/>
      <c r="D15" s="193"/>
      <c r="E15" s="193"/>
      <c r="F15" s="193"/>
      <c r="G15" s="193"/>
      <c r="H15" s="193"/>
      <c r="I15" s="193"/>
      <c r="J15" s="193"/>
      <c r="K15" s="193"/>
      <c r="L15" s="193"/>
    </row>
    <row r="16" spans="1:12" ht="15.6" customHeight="1" x14ac:dyDescent="0.2">
      <c r="A16" s="193"/>
      <c r="B16" s="193"/>
      <c r="C16" s="193"/>
      <c r="D16" s="193"/>
      <c r="E16" s="193"/>
      <c r="F16" s="193"/>
      <c r="G16" s="193"/>
      <c r="H16" s="193"/>
      <c r="I16" s="193"/>
      <c r="J16" s="193"/>
      <c r="K16" s="193"/>
      <c r="L16" s="193"/>
    </row>
    <row r="17" spans="1:12" ht="15.6" customHeight="1" x14ac:dyDescent="0.2">
      <c r="A17" s="193"/>
      <c r="B17" s="193"/>
      <c r="C17" s="193"/>
      <c r="D17" s="193"/>
      <c r="E17" s="193"/>
      <c r="F17" s="193"/>
      <c r="G17" s="193"/>
      <c r="H17" s="193"/>
      <c r="I17" s="193"/>
      <c r="J17" s="193"/>
      <c r="K17" s="193"/>
      <c r="L17" s="193"/>
    </row>
    <row r="18" spans="1:12" ht="15.6" customHeight="1" x14ac:dyDescent="0.2">
      <c r="A18" s="193"/>
      <c r="B18" s="193"/>
      <c r="C18" s="193"/>
      <c r="D18" s="193"/>
      <c r="E18" s="193"/>
      <c r="F18" s="193"/>
      <c r="G18" s="193"/>
      <c r="H18" s="193"/>
      <c r="I18" s="193"/>
      <c r="J18" s="193"/>
      <c r="K18" s="193"/>
      <c r="L18" s="193"/>
    </row>
    <row r="19" spans="1:12" ht="15.6" customHeight="1" x14ac:dyDescent="0.2">
      <c r="A19" s="193"/>
      <c r="B19" s="193"/>
      <c r="C19" s="193"/>
      <c r="D19" s="193"/>
      <c r="E19" s="193"/>
      <c r="F19" s="193"/>
      <c r="G19" s="193"/>
      <c r="H19" s="193"/>
      <c r="I19" s="193"/>
      <c r="J19" s="193"/>
      <c r="K19" s="193"/>
      <c r="L19" s="193"/>
    </row>
    <row r="20" spans="1:12" ht="15.6" customHeight="1" x14ac:dyDescent="0.2">
      <c r="A20" s="193"/>
      <c r="B20" s="193"/>
      <c r="C20" s="193"/>
      <c r="D20" s="193"/>
      <c r="E20" s="193"/>
      <c r="F20" s="193"/>
      <c r="G20" s="193"/>
      <c r="H20" s="193"/>
      <c r="I20" s="193"/>
      <c r="J20" s="193"/>
      <c r="K20" s="193"/>
      <c r="L20" s="193"/>
    </row>
    <row r="21" spans="1:12" ht="15.6" customHeight="1" x14ac:dyDescent="0.2">
      <c r="A21" s="193"/>
      <c r="B21" s="193"/>
      <c r="C21" s="193"/>
      <c r="D21" s="193"/>
      <c r="E21" s="193"/>
      <c r="F21" s="193"/>
      <c r="G21" s="193"/>
      <c r="H21" s="193"/>
      <c r="I21" s="193"/>
      <c r="J21" s="193"/>
      <c r="K21" s="193"/>
      <c r="L21" s="193"/>
    </row>
    <row r="22" spans="1:12" ht="15.6" customHeight="1" x14ac:dyDescent="0.2">
      <c r="A22" s="193"/>
      <c r="B22" s="193"/>
      <c r="C22" s="193"/>
      <c r="D22" s="193"/>
      <c r="E22" s="193"/>
      <c r="F22" s="193"/>
      <c r="G22" s="193"/>
      <c r="H22" s="193"/>
      <c r="I22" s="193"/>
      <c r="J22" s="193"/>
      <c r="K22" s="193"/>
      <c r="L22" s="193"/>
    </row>
    <row r="23" spans="1:12" ht="15.6" customHeight="1" x14ac:dyDescent="0.2">
      <c r="A23" s="193"/>
      <c r="B23" s="193"/>
      <c r="C23" s="193"/>
      <c r="D23" s="193"/>
      <c r="E23" s="193"/>
      <c r="F23" s="193"/>
      <c r="G23" s="193"/>
      <c r="H23" s="193"/>
      <c r="I23" s="193"/>
      <c r="J23" s="193"/>
      <c r="K23" s="193"/>
      <c r="L23" s="193"/>
    </row>
    <row r="24" spans="1:12" ht="15.6" customHeight="1" x14ac:dyDescent="0.2">
      <c r="A24" s="193"/>
      <c r="B24" s="193"/>
      <c r="C24" s="193"/>
      <c r="D24" s="193"/>
      <c r="E24" s="193"/>
      <c r="F24" s="193"/>
      <c r="G24" s="193"/>
      <c r="H24" s="193"/>
      <c r="I24" s="193"/>
      <c r="J24" s="193"/>
      <c r="K24" s="193"/>
      <c r="L24" s="193"/>
    </row>
    <row r="25" spans="1:12" x14ac:dyDescent="0.2">
      <c r="A25" s="193"/>
      <c r="B25" s="193"/>
      <c r="C25" s="193"/>
      <c r="D25" s="193"/>
      <c r="E25" s="193"/>
      <c r="F25" s="193"/>
      <c r="G25" s="193"/>
      <c r="H25" s="193"/>
      <c r="I25" s="193"/>
      <c r="J25" s="193"/>
      <c r="K25" s="193"/>
      <c r="L25" s="193"/>
    </row>
    <row r="26" spans="1:12" ht="15.75" x14ac:dyDescent="0.25">
      <c r="A26" s="193"/>
      <c r="B26" s="220" t="s">
        <v>335</v>
      </c>
      <c r="C26" s="221"/>
      <c r="D26" s="221"/>
      <c r="E26" s="221"/>
      <c r="F26" s="222"/>
      <c r="G26" s="223"/>
      <c r="H26" s="222"/>
      <c r="I26" s="222"/>
      <c r="J26" s="222"/>
      <c r="K26" s="222"/>
      <c r="L26" s="222"/>
    </row>
    <row r="27" spans="1:12" ht="15" customHeight="1" x14ac:dyDescent="0.2">
      <c r="A27" s="193"/>
      <c r="B27" s="224" t="s">
        <v>336</v>
      </c>
      <c r="C27" s="224"/>
      <c r="D27" s="224"/>
      <c r="E27" s="224"/>
      <c r="F27" s="224"/>
      <c r="G27" s="224"/>
      <c r="H27" s="224"/>
      <c r="I27" s="224"/>
      <c r="J27" s="224"/>
      <c r="K27" s="224"/>
      <c r="L27" s="224"/>
    </row>
    <row r="28" spans="1:12" ht="15" customHeight="1" x14ac:dyDescent="0.2">
      <c r="A28" s="193"/>
      <c r="B28" s="224"/>
      <c r="C28" s="224"/>
      <c r="D28" s="224"/>
      <c r="E28" s="224"/>
      <c r="F28" s="224"/>
      <c r="G28" s="224"/>
      <c r="H28" s="224"/>
      <c r="I28" s="224"/>
      <c r="J28" s="224"/>
      <c r="K28" s="224"/>
      <c r="L28" s="224"/>
    </row>
    <row r="29" spans="1:12" ht="15" customHeight="1" x14ac:dyDescent="0.2">
      <c r="A29" s="193"/>
      <c r="B29" s="224"/>
      <c r="C29" s="224"/>
      <c r="D29" s="224"/>
      <c r="E29" s="224"/>
      <c r="F29" s="224"/>
      <c r="G29" s="224"/>
      <c r="H29" s="224"/>
      <c r="I29" s="224"/>
      <c r="J29" s="224"/>
      <c r="K29" s="224"/>
      <c r="L29" s="224"/>
    </row>
    <row r="30" spans="1:12" ht="15" customHeight="1" x14ac:dyDescent="0.2">
      <c r="A30" s="193"/>
      <c r="B30" s="224" t="s">
        <v>337</v>
      </c>
      <c r="C30" s="224"/>
      <c r="D30" s="224"/>
      <c r="E30" s="224"/>
      <c r="F30" s="224"/>
      <c r="G30" s="224"/>
      <c r="H30" s="224"/>
      <c r="I30" s="224"/>
      <c r="J30" s="224"/>
      <c r="K30" s="224"/>
      <c r="L30" s="224"/>
    </row>
    <row r="31" spans="1:12" ht="15" customHeight="1" x14ac:dyDescent="0.2">
      <c r="A31" s="193"/>
      <c r="B31" s="224"/>
      <c r="C31" s="224"/>
      <c r="D31" s="224"/>
      <c r="E31" s="224"/>
      <c r="F31" s="224"/>
      <c r="G31" s="224"/>
      <c r="H31" s="224"/>
      <c r="I31" s="224"/>
      <c r="J31" s="224"/>
      <c r="K31" s="224"/>
      <c r="L31" s="224"/>
    </row>
    <row r="32" spans="1:12" ht="15.75" customHeight="1" x14ac:dyDescent="0.2">
      <c r="A32" s="193"/>
      <c r="B32" s="224"/>
      <c r="C32" s="224"/>
      <c r="D32" s="224"/>
      <c r="E32" s="224"/>
      <c r="F32" s="224"/>
      <c r="G32" s="224"/>
      <c r="H32" s="224"/>
      <c r="I32" s="224"/>
      <c r="J32" s="224"/>
      <c r="K32" s="224"/>
      <c r="L32" s="224"/>
    </row>
    <row r="33" spans="1:12" ht="15.75" customHeight="1" x14ac:dyDescent="0.2">
      <c r="A33" s="193"/>
      <c r="B33" s="224"/>
      <c r="C33" s="224"/>
      <c r="D33" s="224"/>
      <c r="E33" s="224"/>
      <c r="F33" s="224"/>
      <c r="G33" s="224"/>
      <c r="H33" s="224"/>
      <c r="I33" s="224"/>
      <c r="J33" s="224"/>
      <c r="K33" s="224"/>
      <c r="L33" s="224"/>
    </row>
    <row r="34" spans="1:12" ht="15.75" customHeight="1" x14ac:dyDescent="0.25">
      <c r="A34" s="193"/>
      <c r="B34" s="241"/>
      <c r="C34" s="241"/>
      <c r="D34" s="241"/>
      <c r="E34" s="241"/>
      <c r="F34" s="241"/>
      <c r="G34" s="241"/>
      <c r="H34" s="241"/>
      <c r="I34" s="241"/>
      <c r="J34" s="241"/>
      <c r="K34" s="241"/>
      <c r="L34" s="241"/>
    </row>
    <row r="35" spans="1:12" ht="15.75" x14ac:dyDescent="0.25">
      <c r="A35" s="193"/>
      <c r="B35" s="225" t="s">
        <v>338</v>
      </c>
      <c r="C35" s="226"/>
      <c r="D35" s="222"/>
      <c r="E35" s="222"/>
      <c r="F35" s="222"/>
      <c r="G35" s="222"/>
      <c r="H35" s="222"/>
      <c r="I35" s="222"/>
      <c r="J35" s="222"/>
      <c r="K35" s="222"/>
      <c r="L35" s="222"/>
    </row>
    <row r="36" spans="1:12" ht="15.75" x14ac:dyDescent="0.25">
      <c r="A36" s="227"/>
      <c r="B36" s="227" t="s">
        <v>339</v>
      </c>
      <c r="C36" s="227"/>
      <c r="D36" s="227"/>
      <c r="E36" s="227"/>
      <c r="F36" s="227"/>
      <c r="G36" s="227"/>
      <c r="H36" s="227"/>
      <c r="I36" s="227"/>
      <c r="J36" s="227"/>
      <c r="K36" s="227"/>
      <c r="L36" s="227"/>
    </row>
    <row r="37" spans="1:12" ht="15.75" x14ac:dyDescent="0.25">
      <c r="A37" s="227"/>
      <c r="B37" s="242" t="s">
        <v>340</v>
      </c>
      <c r="C37" s="242"/>
      <c r="D37" s="242"/>
      <c r="E37" s="242"/>
      <c r="F37" s="242"/>
      <c r="G37" s="242"/>
      <c r="H37" s="242"/>
      <c r="I37" s="242"/>
      <c r="J37" s="242"/>
      <c r="K37" s="227"/>
      <c r="L37" s="227"/>
    </row>
    <row r="38" spans="1:12" ht="15.75" customHeight="1" x14ac:dyDescent="0.25">
      <c r="A38" s="227"/>
      <c r="B38" s="228" t="s">
        <v>341</v>
      </c>
      <c r="C38" s="228"/>
      <c r="D38" s="228"/>
      <c r="E38" s="228"/>
      <c r="F38" s="228"/>
      <c r="G38" s="228"/>
      <c r="H38" s="228"/>
      <c r="I38" s="228"/>
      <c r="J38" s="229"/>
      <c r="K38" s="227"/>
      <c r="L38" s="227"/>
    </row>
    <row r="39" spans="1:12" ht="15.75" x14ac:dyDescent="0.25">
      <c r="A39" s="227"/>
      <c r="B39" s="228"/>
      <c r="C39" s="228"/>
      <c r="D39" s="228"/>
      <c r="E39" s="228"/>
      <c r="F39" s="228"/>
      <c r="G39" s="228"/>
      <c r="H39" s="228"/>
      <c r="I39" s="228"/>
      <c r="J39" s="229"/>
      <c r="K39" s="227"/>
      <c r="L39" s="227"/>
    </row>
    <row r="40" spans="1:12" ht="15.75" customHeight="1" x14ac:dyDescent="0.2">
      <c r="A40" s="193"/>
      <c r="B40" s="230" t="s">
        <v>342</v>
      </c>
      <c r="C40" s="230"/>
      <c r="D40" s="230"/>
      <c r="E40" s="230"/>
      <c r="F40" s="231"/>
      <c r="G40" s="230" t="s">
        <v>343</v>
      </c>
      <c r="H40" s="230"/>
      <c r="I40" s="230"/>
      <c r="J40" s="230"/>
      <c r="K40" s="230"/>
      <c r="L40" s="231"/>
    </row>
    <row r="41" spans="1:12" ht="15.75" x14ac:dyDescent="0.2">
      <c r="A41" s="193"/>
      <c r="B41" s="230"/>
      <c r="C41" s="230"/>
      <c r="D41" s="230"/>
      <c r="E41" s="230"/>
      <c r="F41" s="231"/>
      <c r="G41" s="230"/>
      <c r="H41" s="230"/>
      <c r="I41" s="230"/>
      <c r="J41" s="230"/>
      <c r="K41" s="230"/>
      <c r="L41" s="231"/>
    </row>
    <row r="42" spans="1:12" ht="15.75" x14ac:dyDescent="0.25">
      <c r="A42" s="193"/>
      <c r="B42" s="226" t="s">
        <v>330</v>
      </c>
      <c r="C42" s="226"/>
      <c r="D42" s="226"/>
      <c r="E42" s="232"/>
      <c r="F42" s="226"/>
      <c r="G42" s="226" t="s">
        <v>32</v>
      </c>
      <c r="H42" s="193"/>
      <c r="I42" s="193"/>
      <c r="J42" s="226"/>
      <c r="K42" s="193"/>
      <c r="L42" s="226"/>
    </row>
    <row r="43" spans="1:12" ht="15.75" x14ac:dyDescent="0.25">
      <c r="A43" s="193"/>
      <c r="B43" s="226" t="s">
        <v>306</v>
      </c>
      <c r="C43" s="226"/>
      <c r="D43" s="226"/>
      <c r="E43" s="232"/>
      <c r="F43" s="226"/>
      <c r="G43" s="226" t="s">
        <v>344</v>
      </c>
      <c r="H43" s="193"/>
      <c r="I43" s="193"/>
      <c r="J43" s="226"/>
      <c r="K43" s="193"/>
      <c r="L43" s="226"/>
    </row>
    <row r="44" spans="1:12" ht="15.75" x14ac:dyDescent="0.25">
      <c r="A44" s="193"/>
      <c r="B44" s="226" t="s">
        <v>33</v>
      </c>
      <c r="C44" s="226"/>
      <c r="D44" s="226"/>
      <c r="E44" s="226"/>
      <c r="F44" s="226"/>
      <c r="G44" s="226" t="s">
        <v>33</v>
      </c>
      <c r="H44" s="193"/>
      <c r="I44" s="193"/>
      <c r="J44" s="226"/>
      <c r="K44" s="193"/>
      <c r="L44" s="226"/>
    </row>
    <row r="45" spans="1:12" ht="15.75" x14ac:dyDescent="0.25">
      <c r="A45" s="193"/>
      <c r="B45" s="233" t="s">
        <v>345</v>
      </c>
      <c r="C45" s="221"/>
      <c r="D45" s="221"/>
      <c r="E45" s="226"/>
      <c r="F45" s="226"/>
      <c r="G45" s="234"/>
      <c r="H45" s="235"/>
      <c r="I45" s="234"/>
      <c r="J45" s="226"/>
      <c r="K45" s="226"/>
      <c r="L45" s="226"/>
    </row>
    <row r="46" spans="1:12" ht="15.75" x14ac:dyDescent="0.25">
      <c r="A46" s="193"/>
      <c r="B46" s="236" t="s">
        <v>346</v>
      </c>
      <c r="C46" s="237"/>
      <c r="D46" s="238"/>
      <c r="E46" s="226"/>
      <c r="F46" s="226"/>
      <c r="G46" s="226" t="s">
        <v>347</v>
      </c>
      <c r="H46" s="238"/>
      <c r="I46" s="238"/>
      <c r="J46" s="226"/>
      <c r="K46" s="226"/>
      <c r="L46" s="226"/>
    </row>
    <row r="47" spans="1:12" ht="15.75" x14ac:dyDescent="0.25">
      <c r="A47" s="193"/>
      <c r="B47" s="236"/>
      <c r="C47" s="237"/>
      <c r="D47" s="238"/>
      <c r="E47" s="226"/>
      <c r="F47" s="226"/>
      <c r="G47" s="226" t="s">
        <v>348</v>
      </c>
      <c r="H47" s="238"/>
      <c r="I47" s="238"/>
      <c r="J47" s="226"/>
      <c r="K47" s="226"/>
      <c r="L47" s="226"/>
    </row>
    <row r="48" spans="1:12" ht="15.75" x14ac:dyDescent="0.25">
      <c r="A48" s="193"/>
      <c r="B48" s="236"/>
      <c r="C48" s="237"/>
      <c r="D48" s="238"/>
      <c r="E48" s="226"/>
      <c r="F48" s="226"/>
      <c r="G48" s="226" t="s">
        <v>33</v>
      </c>
      <c r="H48" s="238"/>
      <c r="I48" s="238"/>
      <c r="J48" s="226"/>
      <c r="K48" s="226"/>
      <c r="L48" s="226"/>
    </row>
    <row r="49" spans="1:12" ht="15.75" x14ac:dyDescent="0.25">
      <c r="A49" s="193"/>
      <c r="B49" s="236"/>
      <c r="C49" s="237"/>
      <c r="D49" s="238"/>
      <c r="E49" s="226"/>
      <c r="F49" s="226"/>
      <c r="G49" s="226"/>
      <c r="H49" s="238"/>
      <c r="I49" s="238"/>
      <c r="J49" s="226"/>
      <c r="K49" s="226"/>
      <c r="L49" s="226"/>
    </row>
    <row r="50" spans="1:12" ht="15.75" x14ac:dyDescent="0.25">
      <c r="A50" s="193"/>
      <c r="B50" s="226"/>
      <c r="C50" s="222"/>
      <c r="D50" s="226"/>
      <c r="E50" s="226"/>
      <c r="F50" s="226"/>
      <c r="G50" s="193"/>
      <c r="H50" s="226"/>
      <c r="I50" s="226"/>
      <c r="J50" s="226"/>
      <c r="K50" s="226"/>
      <c r="L50" s="226"/>
    </row>
    <row r="51" spans="1:12" ht="15.75" customHeight="1" x14ac:dyDescent="0.25">
      <c r="A51" s="193"/>
      <c r="B51" s="239" t="s">
        <v>349</v>
      </c>
      <c r="C51" s="239"/>
      <c r="D51" s="239"/>
      <c r="E51" s="239"/>
      <c r="F51" s="239"/>
      <c r="G51" s="239"/>
      <c r="H51" s="239"/>
      <c r="I51" s="239"/>
      <c r="J51" s="239"/>
      <c r="K51" s="239"/>
      <c r="L51" s="239"/>
    </row>
    <row r="52" spans="1:12" ht="15.75" x14ac:dyDescent="0.25">
      <c r="A52" s="193"/>
      <c r="B52" s="240"/>
      <c r="C52" s="240"/>
      <c r="D52" s="240"/>
      <c r="E52" s="240"/>
      <c r="F52" s="240"/>
      <c r="G52" s="240"/>
      <c r="H52" s="240"/>
      <c r="I52" s="240"/>
      <c r="J52" s="240"/>
      <c r="K52" s="240"/>
      <c r="L52" s="240"/>
    </row>
    <row r="53" spans="1:12" x14ac:dyDescent="0.2">
      <c r="A53" s="193"/>
      <c r="B53" s="193"/>
      <c r="C53" s="193"/>
      <c r="D53" s="193"/>
      <c r="E53" s="193"/>
      <c r="F53" s="193"/>
      <c r="G53" s="193"/>
      <c r="H53" s="193"/>
      <c r="I53" s="193"/>
      <c r="J53" s="193"/>
      <c r="K53" s="193"/>
      <c r="L53" s="193"/>
    </row>
    <row r="54" spans="1:12" x14ac:dyDescent="0.2">
      <c r="A54" s="193"/>
      <c r="B54" s="193"/>
      <c r="C54" s="193"/>
      <c r="D54" s="193"/>
      <c r="E54" s="193"/>
      <c r="F54" s="193"/>
      <c r="G54" s="193"/>
      <c r="H54" s="193"/>
      <c r="I54" s="193"/>
      <c r="J54" s="193"/>
      <c r="K54" s="193"/>
      <c r="L54" s="193"/>
    </row>
    <row r="55" spans="1:12" x14ac:dyDescent="0.2">
      <c r="A55" s="193"/>
      <c r="B55" s="193"/>
      <c r="C55" s="193"/>
      <c r="D55" s="193"/>
      <c r="E55" s="193"/>
      <c r="F55" s="193"/>
      <c r="G55" s="193"/>
      <c r="H55" s="193"/>
      <c r="I55" s="193"/>
      <c r="J55" s="193"/>
      <c r="K55" s="193"/>
      <c r="L55" s="193"/>
    </row>
    <row r="56" spans="1:12" x14ac:dyDescent="0.2">
      <c r="A56" s="193"/>
      <c r="B56" s="193"/>
      <c r="C56" s="193"/>
      <c r="D56" s="193"/>
      <c r="E56" s="193"/>
      <c r="F56" s="193"/>
      <c r="G56" s="193"/>
      <c r="H56" s="193"/>
      <c r="I56" s="193"/>
      <c r="J56" s="193"/>
      <c r="K56" s="193"/>
      <c r="L56" s="193"/>
    </row>
    <row r="57" spans="1:12" x14ac:dyDescent="0.2">
      <c r="A57" s="193"/>
      <c r="B57" s="193"/>
      <c r="C57" s="193"/>
      <c r="D57" s="193"/>
      <c r="E57" s="193"/>
      <c r="F57" s="193"/>
      <c r="G57" s="193"/>
      <c r="H57" s="193"/>
      <c r="I57" s="193"/>
      <c r="J57" s="193"/>
      <c r="K57" s="193"/>
      <c r="L57" s="193"/>
    </row>
    <row r="58" spans="1:12" x14ac:dyDescent="0.2">
      <c r="A58" s="193"/>
      <c r="B58" s="193"/>
      <c r="C58" s="193"/>
      <c r="D58" s="193"/>
      <c r="E58" s="193"/>
      <c r="F58" s="193"/>
      <c r="G58" s="193"/>
      <c r="H58" s="193"/>
      <c r="I58" s="193"/>
      <c r="J58" s="193"/>
      <c r="K58" s="193"/>
      <c r="L58" s="193"/>
    </row>
    <row r="82" spans="1:18" x14ac:dyDescent="0.2">
      <c r="B82" s="114" t="s">
        <v>281</v>
      </c>
      <c r="C82" s="114"/>
      <c r="D82" s="114"/>
      <c r="E82" s="114"/>
      <c r="F82" s="114"/>
      <c r="G82" s="114"/>
      <c r="H82" s="114"/>
      <c r="I82" s="114"/>
      <c r="J82" s="114"/>
      <c r="K82" s="114"/>
      <c r="L82" s="114"/>
      <c r="M82" s="114"/>
      <c r="N82" s="114"/>
      <c r="O82" s="114"/>
      <c r="P82" s="114"/>
      <c r="Q82" s="114"/>
      <c r="R82" s="114"/>
    </row>
    <row r="83" spans="1:18" x14ac:dyDescent="0.2">
      <c r="B83" s="114"/>
      <c r="C83" s="114"/>
      <c r="D83" s="114"/>
      <c r="E83" s="114"/>
      <c r="F83" s="114"/>
      <c r="G83" s="114"/>
      <c r="H83" s="114"/>
      <c r="I83" s="114"/>
      <c r="J83" s="114"/>
      <c r="K83" s="114"/>
      <c r="L83" s="114"/>
      <c r="M83" s="114"/>
      <c r="N83" s="114"/>
      <c r="O83" s="114"/>
      <c r="P83" s="114"/>
      <c r="Q83" s="114"/>
      <c r="R83" s="114"/>
    </row>
    <row r="84" spans="1:18" x14ac:dyDescent="0.2">
      <c r="B84" s="114" t="s">
        <v>305</v>
      </c>
      <c r="C84" s="114"/>
      <c r="D84" s="114"/>
      <c r="E84" s="114"/>
      <c r="F84" s="114"/>
      <c r="G84" s="114"/>
      <c r="H84" s="115"/>
      <c r="I84" s="115"/>
      <c r="J84" s="115"/>
      <c r="K84" s="115"/>
      <c r="L84" s="114"/>
      <c r="M84" s="114"/>
      <c r="N84" s="114"/>
      <c r="O84" s="114"/>
      <c r="P84" s="114"/>
      <c r="Q84" s="114"/>
      <c r="R84" s="114"/>
    </row>
    <row r="85" spans="1:18" x14ac:dyDescent="0.2">
      <c r="A85" s="113"/>
      <c r="B85" s="116"/>
      <c r="C85" s="117" t="s">
        <v>69</v>
      </c>
      <c r="D85" s="117" t="s">
        <v>6</v>
      </c>
      <c r="E85" s="117" t="s">
        <v>70</v>
      </c>
      <c r="F85" s="117" t="s">
        <v>130</v>
      </c>
      <c r="G85" s="118" t="s">
        <v>134</v>
      </c>
      <c r="H85" s="117" t="s">
        <v>13</v>
      </c>
      <c r="I85" s="118" t="s">
        <v>15</v>
      </c>
      <c r="J85" s="118" t="s">
        <v>54</v>
      </c>
      <c r="K85" s="118"/>
      <c r="L85" s="119" t="s">
        <v>131</v>
      </c>
      <c r="M85" s="120"/>
      <c r="N85" s="120"/>
      <c r="O85" s="120"/>
      <c r="Q85" s="121"/>
      <c r="R85" s="121"/>
    </row>
    <row r="86" spans="1:18" x14ac:dyDescent="0.2">
      <c r="A86" s="113"/>
      <c r="B86" s="122" t="s">
        <v>133</v>
      </c>
      <c r="C86" s="123">
        <v>5.5190586961876495E-3</v>
      </c>
      <c r="D86" s="124">
        <v>-5.7636583260407437E-2</v>
      </c>
      <c r="E86" s="124">
        <v>-1E-3</v>
      </c>
      <c r="F86" s="124">
        <v>9.5325537622679537</v>
      </c>
      <c r="G86" s="123">
        <v>12.025040144720981</v>
      </c>
      <c r="H86" s="125">
        <v>0.55000000000000004</v>
      </c>
      <c r="I86" s="126">
        <v>1.8</v>
      </c>
      <c r="J86" s="126">
        <v>1500</v>
      </c>
      <c r="K86" s="126"/>
      <c r="L86" s="127">
        <v>40736</v>
      </c>
      <c r="M86" s="126"/>
      <c r="N86" s="126"/>
      <c r="O86" s="128"/>
      <c r="Q86" s="121"/>
      <c r="R86" s="121"/>
    </row>
    <row r="87" spans="1:18" x14ac:dyDescent="0.2">
      <c r="A87" s="113"/>
      <c r="B87" s="129" t="s">
        <v>132</v>
      </c>
      <c r="C87" s="130">
        <v>4.7694346583588704E-3</v>
      </c>
      <c r="D87" s="131">
        <v>-7.7698505043562113E-2</v>
      </c>
      <c r="E87" s="131">
        <v>-2.5000000000000001E-4</v>
      </c>
      <c r="F87" s="131">
        <v>11.036526575980044</v>
      </c>
      <c r="G87" s="130">
        <v>14.673311184939092</v>
      </c>
      <c r="H87" s="132">
        <v>0.25</v>
      </c>
      <c r="I87" s="133">
        <v>1.8</v>
      </c>
      <c r="J87" s="133">
        <v>3000</v>
      </c>
      <c r="K87" s="133"/>
      <c r="L87" s="127">
        <v>40736</v>
      </c>
      <c r="M87" s="126"/>
      <c r="N87" s="126"/>
      <c r="O87" s="128"/>
      <c r="Q87" s="121"/>
      <c r="R87" s="121"/>
    </row>
    <row r="88" spans="1:18" x14ac:dyDescent="0.2">
      <c r="B88" s="121"/>
      <c r="C88" s="121"/>
      <c r="D88" s="121"/>
      <c r="E88" s="121"/>
      <c r="F88" s="121"/>
      <c r="G88" s="121"/>
      <c r="H88" s="121"/>
      <c r="I88" s="121"/>
      <c r="J88" s="121"/>
      <c r="K88" s="121"/>
      <c r="L88" s="121"/>
      <c r="M88" s="121"/>
      <c r="N88" s="121"/>
      <c r="O88" s="121"/>
      <c r="Q88" s="121"/>
      <c r="R88" s="121"/>
    </row>
    <row r="89" spans="1:18" x14ac:dyDescent="0.2">
      <c r="B89" s="114"/>
      <c r="C89" s="114"/>
      <c r="D89" s="114"/>
      <c r="E89" s="114"/>
      <c r="F89" s="114"/>
      <c r="G89" s="114"/>
      <c r="H89" s="114"/>
      <c r="I89" s="114"/>
      <c r="J89" s="114"/>
      <c r="K89" s="121"/>
      <c r="L89" s="121"/>
      <c r="M89" s="121"/>
      <c r="N89" s="121"/>
      <c r="O89" s="121"/>
      <c r="P89" s="121"/>
      <c r="Q89" s="121"/>
      <c r="R89" s="121"/>
    </row>
    <row r="90" spans="1:18" x14ac:dyDescent="0.2">
      <c r="B90" s="115" t="s">
        <v>304</v>
      </c>
      <c r="C90" s="115"/>
      <c r="D90" s="115"/>
      <c r="E90" s="115"/>
      <c r="F90" s="115"/>
      <c r="G90" s="121"/>
      <c r="H90" s="121"/>
      <c r="I90" s="121"/>
      <c r="J90" s="121"/>
      <c r="K90" s="121"/>
      <c r="L90" s="121"/>
      <c r="M90" s="121"/>
      <c r="N90" s="121"/>
      <c r="O90" s="121"/>
      <c r="P90" s="121"/>
      <c r="Q90" s="121"/>
      <c r="R90" s="121"/>
    </row>
    <row r="91" spans="1:18" x14ac:dyDescent="0.2">
      <c r="B91" s="115"/>
      <c r="C91" s="121" t="s">
        <v>282</v>
      </c>
      <c r="D91" s="115"/>
      <c r="E91" s="121"/>
      <c r="F91" s="121"/>
      <c r="G91" s="121"/>
      <c r="H91" s="121"/>
      <c r="I91" s="121"/>
      <c r="J91" s="121"/>
      <c r="K91" s="114"/>
      <c r="L91" s="114"/>
      <c r="M91" s="114"/>
      <c r="N91" s="114"/>
      <c r="O91" s="114"/>
      <c r="P91" s="114"/>
      <c r="Q91" s="114"/>
      <c r="R91" s="114"/>
    </row>
    <row r="92" spans="1:18" x14ac:dyDescent="0.2">
      <c r="B92" s="115"/>
      <c r="C92" s="121"/>
      <c r="D92" s="121"/>
      <c r="E92" s="121"/>
      <c r="F92" s="121"/>
      <c r="G92" s="121"/>
      <c r="H92" s="121"/>
      <c r="I92" s="121"/>
      <c r="J92" s="121"/>
      <c r="K92" s="114"/>
      <c r="L92" s="114"/>
      <c r="M92" s="114"/>
      <c r="N92" s="114"/>
      <c r="O92" s="114"/>
      <c r="P92" s="114"/>
      <c r="Q92" s="114"/>
      <c r="R92" s="114"/>
    </row>
    <row r="93" spans="1:18" x14ac:dyDescent="0.2">
      <c r="B93" s="115" t="s">
        <v>129</v>
      </c>
      <c r="C93" s="115"/>
      <c r="D93" s="113"/>
      <c r="E93" s="115"/>
      <c r="F93" s="123"/>
      <c r="G93" s="121"/>
      <c r="H93" s="115" t="s">
        <v>128</v>
      </c>
      <c r="I93" s="113"/>
      <c r="J93" s="113"/>
      <c r="K93" s="113"/>
      <c r="L93" s="121"/>
      <c r="M93" s="114"/>
      <c r="N93" s="114"/>
      <c r="O93" s="114"/>
      <c r="P93" s="114"/>
      <c r="Q93" s="114"/>
      <c r="R93" s="114"/>
    </row>
    <row r="94" spans="1:18" x14ac:dyDescent="0.2">
      <c r="A94" s="113"/>
      <c r="B94" s="134" t="s">
        <v>265</v>
      </c>
      <c r="C94" s="135"/>
      <c r="D94" s="136"/>
      <c r="E94" s="135"/>
      <c r="F94" s="137">
        <v>7</v>
      </c>
      <c r="G94" s="121"/>
      <c r="H94" s="138" t="s">
        <v>265</v>
      </c>
      <c r="I94" s="139"/>
      <c r="J94" s="140"/>
      <c r="K94" s="139"/>
      <c r="L94" s="141">
        <v>6.3</v>
      </c>
      <c r="M94" s="114"/>
      <c r="N94" s="114"/>
      <c r="O94" s="114"/>
      <c r="P94" s="114"/>
      <c r="Q94" s="114"/>
      <c r="R94" s="114"/>
    </row>
    <row r="95" spans="1:18" x14ac:dyDescent="0.2">
      <c r="A95" s="113"/>
      <c r="B95" s="142" t="s">
        <v>266</v>
      </c>
      <c r="C95" s="113"/>
      <c r="D95" s="115"/>
      <c r="E95" s="113"/>
      <c r="F95" s="143">
        <v>28</v>
      </c>
      <c r="G95" s="121"/>
      <c r="H95" s="144" t="s">
        <v>266</v>
      </c>
      <c r="I95" s="113"/>
      <c r="J95" s="115"/>
      <c r="K95" s="113"/>
      <c r="L95" s="145">
        <v>29</v>
      </c>
      <c r="M95" s="114"/>
      <c r="N95" s="114"/>
      <c r="O95" s="114"/>
      <c r="P95" s="114"/>
      <c r="Q95" s="114"/>
      <c r="R95" s="114"/>
    </row>
    <row r="96" spans="1:18" x14ac:dyDescent="0.2">
      <c r="A96" s="113"/>
      <c r="B96" s="142" t="s">
        <v>267</v>
      </c>
      <c r="C96" s="113"/>
      <c r="D96" s="115"/>
      <c r="E96" s="113"/>
      <c r="F96" s="146">
        <f>F94*F95*5280/43560</f>
        <v>23.757575757575758</v>
      </c>
      <c r="G96" s="121"/>
      <c r="H96" s="144" t="s">
        <v>267</v>
      </c>
      <c r="I96" s="113"/>
      <c r="J96" s="115"/>
      <c r="K96" s="113"/>
      <c r="L96" s="147">
        <f>L94*L95*5280/43560</f>
        <v>22.145454545454541</v>
      </c>
      <c r="M96" s="114"/>
      <c r="N96" s="114"/>
      <c r="O96" s="114"/>
      <c r="P96" s="114"/>
      <c r="Q96" s="114"/>
      <c r="R96" s="114"/>
    </row>
    <row r="97" spans="1:18" x14ac:dyDescent="0.2">
      <c r="A97" s="113"/>
      <c r="B97" s="142" t="s">
        <v>268</v>
      </c>
      <c r="C97" s="113"/>
      <c r="D97" s="115"/>
      <c r="E97" s="113"/>
      <c r="F97" s="143">
        <v>1.3</v>
      </c>
      <c r="G97" s="114"/>
      <c r="H97" s="148" t="s">
        <v>268</v>
      </c>
      <c r="I97" s="113"/>
      <c r="J97" s="121"/>
      <c r="K97" s="113"/>
      <c r="L97" s="145">
        <v>1.2</v>
      </c>
      <c r="M97" s="114"/>
      <c r="N97" s="114"/>
      <c r="O97" s="114"/>
      <c r="P97" s="114"/>
      <c r="Q97" s="114"/>
      <c r="R97" s="114"/>
    </row>
    <row r="98" spans="1:18" x14ac:dyDescent="0.2">
      <c r="A98" s="113"/>
      <c r="B98" s="142" t="s">
        <v>269</v>
      </c>
      <c r="C98" s="113"/>
      <c r="D98" s="115"/>
      <c r="E98" s="113"/>
      <c r="F98" s="143">
        <v>1700</v>
      </c>
      <c r="G98" s="114"/>
      <c r="H98" s="148" t="s">
        <v>278</v>
      </c>
      <c r="I98" s="113"/>
      <c r="J98" s="121"/>
      <c r="K98" s="113"/>
      <c r="L98" s="145">
        <v>1325</v>
      </c>
      <c r="M98" s="114"/>
      <c r="N98" s="114"/>
      <c r="O98" s="114"/>
      <c r="P98" s="114"/>
      <c r="Q98" s="114"/>
      <c r="R98" s="114"/>
    </row>
    <row r="99" spans="1:18" x14ac:dyDescent="0.2">
      <c r="A99" s="113"/>
      <c r="B99" s="142" t="s">
        <v>270</v>
      </c>
      <c r="C99" s="113"/>
      <c r="D99" s="115"/>
      <c r="E99" s="113"/>
      <c r="F99" s="146">
        <f>F97*2000/F98</f>
        <v>1.5294117647058822</v>
      </c>
      <c r="G99" s="114"/>
      <c r="H99" s="148" t="s">
        <v>270</v>
      </c>
      <c r="I99" s="113"/>
      <c r="J99" s="121"/>
      <c r="K99" s="113"/>
      <c r="L99" s="149">
        <f>L97*2000/L98</f>
        <v>1.8113207547169812</v>
      </c>
      <c r="M99" s="114"/>
      <c r="N99" s="114"/>
      <c r="O99" s="114"/>
      <c r="P99" s="114"/>
      <c r="Q99" s="114"/>
      <c r="R99" s="114"/>
    </row>
    <row r="100" spans="1:18" x14ac:dyDescent="0.2">
      <c r="A100" s="113"/>
      <c r="B100" s="142" t="s">
        <v>271</v>
      </c>
      <c r="C100" s="113"/>
      <c r="D100" s="115"/>
      <c r="E100" s="113"/>
      <c r="F100" s="146">
        <f>F96*F99</f>
        <v>36.33511586452763</v>
      </c>
      <c r="G100" s="114"/>
      <c r="H100" s="148" t="s">
        <v>279</v>
      </c>
      <c r="I100" s="113"/>
      <c r="J100" s="121"/>
      <c r="K100" s="113"/>
      <c r="L100" s="149">
        <f>L96*L99</f>
        <v>40.112521440823322</v>
      </c>
      <c r="M100" s="114"/>
      <c r="N100" s="114"/>
      <c r="O100" s="114"/>
      <c r="P100" s="114"/>
      <c r="Q100" s="114"/>
      <c r="R100" s="114"/>
    </row>
    <row r="101" spans="1:18" x14ac:dyDescent="0.2">
      <c r="A101" s="113"/>
      <c r="B101" s="142" t="s">
        <v>272</v>
      </c>
      <c r="C101" s="113"/>
      <c r="D101" s="115"/>
      <c r="E101" s="113"/>
      <c r="F101" s="146">
        <f>60/F100</f>
        <v>1.6512951334379906</v>
      </c>
      <c r="G101" s="114"/>
      <c r="H101" s="150" t="s">
        <v>277</v>
      </c>
      <c r="I101" s="151"/>
      <c r="J101" s="152"/>
      <c r="K101" s="151"/>
      <c r="L101" s="153">
        <f>L98*L100/2000</f>
        <v>26.574545454545451</v>
      </c>
      <c r="M101" s="114"/>
      <c r="N101" s="114"/>
      <c r="O101" s="114"/>
      <c r="P101" s="114"/>
      <c r="Q101" s="114"/>
      <c r="R101" s="114"/>
    </row>
    <row r="102" spans="1:18" x14ac:dyDescent="0.2">
      <c r="A102" s="113"/>
      <c r="B102" s="142" t="s">
        <v>273</v>
      </c>
      <c r="C102" s="113"/>
      <c r="D102" s="115"/>
      <c r="E102" s="113"/>
      <c r="F102" s="143">
        <v>35</v>
      </c>
      <c r="G102" s="114"/>
      <c r="H102" s="114"/>
      <c r="I102" s="114"/>
      <c r="J102" s="114"/>
      <c r="K102" s="114"/>
      <c r="L102" s="114"/>
      <c r="M102" s="114"/>
      <c r="N102" s="114"/>
      <c r="O102" s="114"/>
      <c r="P102" s="114"/>
      <c r="Q102" s="114"/>
      <c r="R102" s="114"/>
    </row>
    <row r="103" spans="1:18" x14ac:dyDescent="0.2">
      <c r="A103" s="113"/>
      <c r="B103" s="142" t="s">
        <v>274</v>
      </c>
      <c r="C103" s="113"/>
      <c r="D103" s="115"/>
      <c r="E103" s="113"/>
      <c r="F103" s="146">
        <f>F101+F102/60</f>
        <v>2.2346284667713241</v>
      </c>
      <c r="G103" s="114"/>
      <c r="H103" s="114"/>
      <c r="I103" s="114"/>
      <c r="J103" s="114"/>
      <c r="K103" s="114"/>
      <c r="L103" s="114"/>
      <c r="M103" s="114"/>
      <c r="N103" s="114"/>
      <c r="O103" s="114"/>
      <c r="P103" s="114"/>
      <c r="Q103" s="114"/>
      <c r="R103" s="114"/>
    </row>
    <row r="104" spans="1:18" x14ac:dyDescent="0.2">
      <c r="A104" s="113"/>
      <c r="B104" s="142" t="s">
        <v>275</v>
      </c>
      <c r="C104" s="113"/>
      <c r="D104" s="115"/>
      <c r="E104" s="113"/>
      <c r="F104" s="146">
        <f>60/F103</f>
        <v>26.850100986447323</v>
      </c>
      <c r="G104" s="114"/>
      <c r="H104" s="114"/>
      <c r="I104" s="114"/>
      <c r="J104" s="114"/>
      <c r="K104" s="114"/>
      <c r="L104" s="114"/>
      <c r="M104" s="114"/>
      <c r="N104" s="114"/>
      <c r="O104" s="114"/>
      <c r="P104" s="114"/>
      <c r="Q104" s="114"/>
      <c r="R104" s="114"/>
    </row>
    <row r="105" spans="1:18" x14ac:dyDescent="0.2">
      <c r="A105" s="113"/>
      <c r="B105" s="142" t="s">
        <v>276</v>
      </c>
      <c r="C105" s="113"/>
      <c r="D105" s="115"/>
      <c r="E105" s="113"/>
      <c r="F105" s="146">
        <f>F104/F99</f>
        <v>17.555835260369406</v>
      </c>
      <c r="G105" s="114"/>
      <c r="H105" s="114"/>
      <c r="I105" s="114"/>
      <c r="J105" s="114"/>
      <c r="K105" s="114"/>
      <c r="L105" s="114"/>
      <c r="M105" s="114"/>
      <c r="N105" s="114"/>
      <c r="O105" s="114"/>
      <c r="P105" s="114"/>
      <c r="Q105" s="114"/>
      <c r="R105" s="114"/>
    </row>
    <row r="106" spans="1:18" x14ac:dyDescent="0.2">
      <c r="A106" s="113"/>
      <c r="B106" s="154" t="s">
        <v>277</v>
      </c>
      <c r="C106" s="155"/>
      <c r="D106" s="156"/>
      <c r="E106" s="155"/>
      <c r="F106" s="157">
        <f>F98*F104/2000</f>
        <v>22.822585838480222</v>
      </c>
      <c r="G106" s="114"/>
      <c r="H106" s="114"/>
      <c r="I106" s="114"/>
      <c r="J106" s="114"/>
      <c r="K106" s="114"/>
      <c r="L106" s="114"/>
      <c r="M106" s="114"/>
      <c r="N106" s="114"/>
      <c r="O106" s="114"/>
      <c r="P106" s="114"/>
      <c r="Q106" s="114"/>
      <c r="R106" s="114"/>
    </row>
    <row r="107" spans="1:18" x14ac:dyDescent="0.2">
      <c r="B107" s="113"/>
      <c r="C107" s="113"/>
      <c r="D107" s="113"/>
      <c r="E107" s="113"/>
      <c r="F107" s="113"/>
      <c r="G107" s="114"/>
      <c r="H107" s="114"/>
      <c r="I107" s="114"/>
      <c r="J107" s="114"/>
      <c r="K107" s="114"/>
      <c r="L107" s="114"/>
      <c r="M107" s="114"/>
      <c r="N107" s="114"/>
      <c r="O107" s="114"/>
      <c r="P107" s="114"/>
      <c r="Q107" s="114"/>
      <c r="R107" s="114"/>
    </row>
    <row r="108" spans="1:18" x14ac:dyDescent="0.2">
      <c r="B108" s="158"/>
      <c r="D108" s="159"/>
      <c r="F108" s="160"/>
      <c r="G108" s="114"/>
      <c r="H108" s="114"/>
      <c r="I108" s="114"/>
      <c r="J108" s="114"/>
      <c r="K108" s="114"/>
      <c r="L108" s="114"/>
      <c r="M108" s="114"/>
      <c r="N108" s="114"/>
      <c r="O108" s="114"/>
      <c r="P108" s="114"/>
      <c r="Q108" s="114"/>
      <c r="R108" s="114"/>
    </row>
    <row r="109" spans="1:18" x14ac:dyDescent="0.2">
      <c r="B109" s="114" t="s">
        <v>280</v>
      </c>
      <c r="C109" s="115"/>
      <c r="D109" s="114"/>
      <c r="E109" s="114"/>
      <c r="F109" s="114"/>
      <c r="G109" s="114"/>
      <c r="H109" s="114"/>
      <c r="I109" s="114"/>
      <c r="J109" s="114"/>
      <c r="K109" s="114"/>
      <c r="L109" s="114"/>
      <c r="M109" s="114"/>
      <c r="N109" s="114"/>
      <c r="O109" s="114"/>
      <c r="P109" s="114"/>
      <c r="Q109" s="114"/>
      <c r="R109" s="114"/>
    </row>
    <row r="110" spans="1:18" x14ac:dyDescent="0.2">
      <c r="A110" s="113"/>
      <c r="B110" s="116" t="s">
        <v>301</v>
      </c>
      <c r="C110" s="161"/>
      <c r="D110" s="161"/>
      <c r="E110" s="135"/>
      <c r="F110" s="118" t="s">
        <v>216</v>
      </c>
      <c r="G110" s="118" t="s">
        <v>217</v>
      </c>
      <c r="H110" s="162" t="s">
        <v>146</v>
      </c>
      <c r="I110" s="114"/>
      <c r="J110" s="114"/>
      <c r="K110" s="114"/>
      <c r="L110" s="114"/>
      <c r="M110" s="114"/>
      <c r="N110" s="114"/>
      <c r="O110" s="114"/>
      <c r="P110" s="114"/>
      <c r="Q110" s="114"/>
      <c r="R110" s="114"/>
    </row>
    <row r="111" spans="1:18" x14ac:dyDescent="0.2">
      <c r="A111" s="113"/>
      <c r="B111" s="122" t="s">
        <v>211</v>
      </c>
      <c r="C111" s="123"/>
      <c r="D111" s="123"/>
      <c r="E111" s="113"/>
      <c r="F111" s="163">
        <v>8.1199999999999992</v>
      </c>
      <c r="G111" s="124">
        <v>1000</v>
      </c>
      <c r="H111" s="164">
        <f>F111/(G111/2000)</f>
        <v>16.239999999999998</v>
      </c>
      <c r="I111" s="114"/>
      <c r="J111" s="114"/>
      <c r="K111" s="114"/>
      <c r="L111" s="114"/>
      <c r="M111" s="114"/>
      <c r="N111" s="114"/>
      <c r="O111" s="114"/>
      <c r="P111" s="114"/>
      <c r="Q111" s="114"/>
      <c r="R111" s="114"/>
    </row>
    <row r="112" spans="1:18" x14ac:dyDescent="0.2">
      <c r="A112" s="113"/>
      <c r="B112" s="122" t="s">
        <v>212</v>
      </c>
      <c r="C112" s="123"/>
      <c r="D112" s="123"/>
      <c r="E112" s="113"/>
      <c r="F112" s="163">
        <v>8.24</v>
      </c>
      <c r="G112" s="124">
        <v>1750</v>
      </c>
      <c r="H112" s="164">
        <f>F112/(G112/2000)</f>
        <v>9.4171428571428581</v>
      </c>
      <c r="I112" s="114"/>
      <c r="J112" s="114"/>
      <c r="K112" s="114"/>
      <c r="L112" s="114"/>
      <c r="M112" s="114"/>
      <c r="N112" s="114"/>
      <c r="O112" s="114"/>
      <c r="P112" s="114"/>
      <c r="Q112" s="114"/>
      <c r="R112" s="114"/>
    </row>
    <row r="113" spans="1:18" x14ac:dyDescent="0.2">
      <c r="A113" s="113"/>
      <c r="B113" s="122" t="s">
        <v>213</v>
      </c>
      <c r="C113" s="123"/>
      <c r="D113" s="123"/>
      <c r="E113" s="113"/>
      <c r="F113" s="163">
        <v>9</v>
      </c>
      <c r="G113" s="124">
        <v>1000</v>
      </c>
      <c r="H113" s="164">
        <f>F113/(G113/2000)</f>
        <v>18</v>
      </c>
      <c r="I113" s="114"/>
      <c r="J113" s="114"/>
      <c r="K113" s="114"/>
      <c r="L113" s="114"/>
      <c r="M113" s="114"/>
      <c r="N113" s="114"/>
      <c r="O113" s="114"/>
      <c r="P113" s="114"/>
      <c r="Q113" s="114"/>
      <c r="R113" s="114"/>
    </row>
    <row r="114" spans="1:18" x14ac:dyDescent="0.2">
      <c r="A114" s="113"/>
      <c r="B114" s="122" t="s">
        <v>214</v>
      </c>
      <c r="C114" s="123"/>
      <c r="D114" s="123"/>
      <c r="E114" s="113"/>
      <c r="F114" s="163">
        <v>9.2100000000000009</v>
      </c>
      <c r="G114" s="124">
        <v>1750</v>
      </c>
      <c r="H114" s="164">
        <f>F114/(G114/2000)</f>
        <v>10.525714285714287</v>
      </c>
      <c r="I114" s="114"/>
      <c r="J114" s="114"/>
      <c r="K114" s="114"/>
      <c r="L114" s="114"/>
      <c r="M114" s="114"/>
      <c r="N114" s="114"/>
      <c r="O114" s="114"/>
      <c r="P114" s="114"/>
      <c r="Q114" s="114"/>
      <c r="R114" s="114"/>
    </row>
    <row r="115" spans="1:18" x14ac:dyDescent="0.2">
      <c r="A115" s="113"/>
      <c r="B115" s="122" t="s">
        <v>215</v>
      </c>
      <c r="C115" s="123"/>
      <c r="D115" s="123"/>
      <c r="E115" s="113"/>
      <c r="F115" s="163">
        <v>12.8</v>
      </c>
      <c r="G115" s="124">
        <v>2000</v>
      </c>
      <c r="H115" s="164">
        <f>F115/(G115/2000)</f>
        <v>12.8</v>
      </c>
      <c r="I115" s="114"/>
      <c r="J115" s="114"/>
      <c r="K115" s="114"/>
      <c r="L115" s="114"/>
      <c r="M115" s="114"/>
      <c r="N115" s="114"/>
      <c r="O115" s="114"/>
      <c r="P115" s="114"/>
      <c r="Q115" s="114"/>
      <c r="R115" s="114"/>
    </row>
    <row r="116" spans="1:18" x14ac:dyDescent="0.2">
      <c r="A116" s="113"/>
      <c r="B116" s="165" t="s">
        <v>302</v>
      </c>
      <c r="C116" s="115"/>
      <c r="D116" s="115"/>
      <c r="E116" s="113"/>
      <c r="F116" s="166" t="s">
        <v>216</v>
      </c>
      <c r="G116" s="121"/>
      <c r="H116" s="167"/>
      <c r="I116" s="114"/>
      <c r="J116" s="114"/>
      <c r="K116" s="114"/>
      <c r="L116" s="114"/>
      <c r="M116" s="114"/>
      <c r="N116" s="114"/>
      <c r="O116" s="114"/>
      <c r="P116" s="114"/>
      <c r="Q116" s="114"/>
      <c r="R116" s="114"/>
    </row>
    <row r="117" spans="1:18" x14ac:dyDescent="0.2">
      <c r="A117" s="113"/>
      <c r="B117" s="122" t="s">
        <v>218</v>
      </c>
      <c r="C117" s="115"/>
      <c r="D117" s="115"/>
      <c r="E117" s="113"/>
      <c r="F117" s="163">
        <v>5.75</v>
      </c>
      <c r="G117" s="124">
        <v>1800</v>
      </c>
      <c r="H117" s="164">
        <f>F117/(G117/2000)</f>
        <v>6.3888888888888884</v>
      </c>
      <c r="I117" s="114"/>
      <c r="J117" s="114"/>
      <c r="K117" s="114"/>
      <c r="L117" s="114"/>
      <c r="M117" s="114"/>
      <c r="N117" s="114"/>
      <c r="O117" s="114"/>
      <c r="P117" s="114"/>
      <c r="Q117" s="114"/>
      <c r="R117" s="114"/>
    </row>
    <row r="118" spans="1:18" x14ac:dyDescent="0.2">
      <c r="A118" s="113"/>
      <c r="B118" s="168" t="s">
        <v>219</v>
      </c>
      <c r="C118" s="121"/>
      <c r="D118" s="121"/>
      <c r="E118" s="113"/>
      <c r="F118" s="163">
        <v>5.25</v>
      </c>
      <c r="G118" s="124">
        <v>1250</v>
      </c>
      <c r="H118" s="164">
        <f>F118/(G118/2000)</f>
        <v>8.4</v>
      </c>
      <c r="I118" s="114"/>
      <c r="J118" s="114"/>
      <c r="K118" s="114"/>
      <c r="L118" s="114"/>
      <c r="M118" s="114"/>
      <c r="N118" s="114"/>
      <c r="O118" s="114"/>
      <c r="P118" s="114"/>
      <c r="Q118" s="114"/>
      <c r="R118" s="114"/>
    </row>
    <row r="119" spans="1:18" x14ac:dyDescent="0.2">
      <c r="A119" s="113"/>
      <c r="B119" s="168" t="s">
        <v>220</v>
      </c>
      <c r="C119" s="121"/>
      <c r="D119" s="121"/>
      <c r="E119" s="113"/>
      <c r="F119" s="163">
        <v>4.75</v>
      </c>
      <c r="G119" s="124">
        <v>800</v>
      </c>
      <c r="H119" s="164">
        <f>F119/(G119/2000)</f>
        <v>11.875</v>
      </c>
      <c r="I119" s="114"/>
      <c r="J119" s="114"/>
      <c r="K119" s="114"/>
      <c r="L119" s="114"/>
      <c r="M119" s="114"/>
      <c r="N119" s="114"/>
      <c r="O119" s="114"/>
      <c r="P119" s="114"/>
      <c r="Q119" s="114"/>
      <c r="R119" s="114"/>
    </row>
    <row r="120" spans="1:18" x14ac:dyDescent="0.2">
      <c r="A120" s="113"/>
      <c r="B120" s="169" t="s">
        <v>221</v>
      </c>
      <c r="C120" s="170"/>
      <c r="D120" s="170"/>
      <c r="E120" s="155"/>
      <c r="F120" s="171">
        <v>7</v>
      </c>
      <c r="G120" s="131">
        <v>1250</v>
      </c>
      <c r="H120" s="172">
        <f>F120/(G120/2000)</f>
        <v>11.2</v>
      </c>
      <c r="I120" s="114"/>
      <c r="J120" s="114"/>
      <c r="K120" s="114"/>
      <c r="L120" s="114"/>
      <c r="M120" s="114"/>
      <c r="N120" s="114"/>
      <c r="O120" s="114"/>
      <c r="P120" s="114"/>
      <c r="Q120" s="114"/>
      <c r="R120" s="114"/>
    </row>
    <row r="121" spans="1:18" hidden="1" x14ac:dyDescent="0.2">
      <c r="A121" s="113"/>
      <c r="B121" s="173"/>
      <c r="C121" s="121"/>
      <c r="D121" s="121"/>
      <c r="E121" s="121"/>
      <c r="F121" s="121"/>
      <c r="G121" s="121"/>
      <c r="H121" s="167"/>
      <c r="I121" s="114"/>
      <c r="J121" s="114"/>
      <c r="K121" s="114"/>
      <c r="L121" s="114"/>
      <c r="M121" s="114"/>
      <c r="N121" s="114"/>
      <c r="O121" s="114"/>
      <c r="P121" s="114"/>
      <c r="Q121" s="114"/>
      <c r="R121" s="114"/>
    </row>
    <row r="122" spans="1:18" hidden="1" x14ac:dyDescent="0.2">
      <c r="A122" s="113"/>
      <c r="B122" s="168" t="s">
        <v>224</v>
      </c>
      <c r="C122" s="121"/>
      <c r="D122" s="121"/>
      <c r="E122" s="121"/>
      <c r="F122" s="121"/>
      <c r="G122" s="121"/>
      <c r="H122" s="167"/>
      <c r="I122" s="114"/>
      <c r="J122" s="114"/>
      <c r="K122" s="114"/>
      <c r="L122" s="114"/>
      <c r="M122" s="114"/>
      <c r="N122" s="114"/>
      <c r="O122" s="114"/>
      <c r="P122" s="114"/>
      <c r="Q122" s="114"/>
      <c r="R122" s="114"/>
    </row>
    <row r="123" spans="1:18" hidden="1" x14ac:dyDescent="0.2">
      <c r="A123" s="113"/>
      <c r="B123" s="168" t="s">
        <v>226</v>
      </c>
      <c r="C123" s="121"/>
      <c r="D123" s="121"/>
      <c r="E123" s="121"/>
      <c r="F123" s="121"/>
      <c r="G123" s="121"/>
      <c r="H123" s="167"/>
      <c r="I123" s="114"/>
      <c r="J123" s="114"/>
      <c r="K123" s="114"/>
      <c r="L123" s="114"/>
      <c r="M123" s="114"/>
      <c r="N123" s="114"/>
      <c r="O123" s="114"/>
      <c r="P123" s="114"/>
      <c r="Q123" s="114"/>
      <c r="R123" s="114"/>
    </row>
    <row r="124" spans="1:18" hidden="1" x14ac:dyDescent="0.2">
      <c r="A124" s="113"/>
      <c r="B124" s="168" t="s">
        <v>225</v>
      </c>
      <c r="C124" s="121"/>
      <c r="D124" s="121"/>
      <c r="E124" s="121"/>
      <c r="F124" s="121"/>
      <c r="G124" s="121"/>
      <c r="H124" s="167"/>
      <c r="I124" s="114"/>
      <c r="J124" s="114"/>
      <c r="K124" s="114"/>
      <c r="L124" s="114"/>
      <c r="M124" s="114"/>
      <c r="N124" s="114"/>
      <c r="O124" s="114"/>
      <c r="P124" s="114"/>
      <c r="Q124" s="114"/>
      <c r="R124" s="114"/>
    </row>
    <row r="125" spans="1:18" hidden="1" x14ac:dyDescent="0.2">
      <c r="A125" s="113"/>
      <c r="B125" s="174"/>
      <c r="C125" s="170"/>
      <c r="D125" s="170"/>
      <c r="E125" s="170"/>
      <c r="F125" s="170"/>
      <c r="G125" s="170"/>
      <c r="H125" s="175"/>
      <c r="I125" s="114"/>
      <c r="J125" s="114"/>
      <c r="K125" s="114"/>
      <c r="L125" s="114"/>
      <c r="M125" s="114"/>
      <c r="N125" s="114"/>
      <c r="O125" s="114"/>
      <c r="P125" s="114"/>
      <c r="Q125" s="114"/>
      <c r="R125" s="114"/>
    </row>
    <row r="126" spans="1:18" hidden="1" x14ac:dyDescent="0.2">
      <c r="B126" s="114"/>
      <c r="C126" s="114"/>
      <c r="D126" s="114"/>
      <c r="E126" s="114"/>
      <c r="F126" s="114"/>
      <c r="G126" s="114"/>
      <c r="H126" s="114"/>
      <c r="I126" s="114"/>
      <c r="J126" s="114"/>
      <c r="K126" s="114"/>
      <c r="L126" s="114"/>
      <c r="M126" s="114"/>
      <c r="N126" s="114"/>
      <c r="O126" s="114"/>
      <c r="P126" s="114"/>
      <c r="Q126" s="114"/>
      <c r="R126" s="114"/>
    </row>
    <row r="127" spans="1:18" x14ac:dyDescent="0.2">
      <c r="B127" s="114"/>
      <c r="C127" s="114"/>
      <c r="D127" s="114"/>
      <c r="E127" s="114"/>
      <c r="F127" s="114"/>
      <c r="G127" s="114"/>
      <c r="H127" s="114"/>
      <c r="I127" s="114"/>
      <c r="J127" s="114"/>
      <c r="K127" s="114"/>
      <c r="L127" s="114"/>
      <c r="M127" s="114"/>
      <c r="N127" s="114"/>
      <c r="O127" s="114"/>
      <c r="P127" s="114"/>
      <c r="Q127" s="114"/>
      <c r="R127" s="114"/>
    </row>
    <row r="128" spans="1:18" x14ac:dyDescent="0.2">
      <c r="B128" s="114" t="s">
        <v>303</v>
      </c>
      <c r="C128" s="114"/>
      <c r="D128" s="114"/>
      <c r="E128" s="114"/>
      <c r="F128" s="114"/>
      <c r="G128" s="114"/>
      <c r="H128" s="114"/>
      <c r="I128" s="114"/>
      <c r="J128" s="114"/>
      <c r="K128" s="114"/>
      <c r="L128" s="114"/>
      <c r="M128" s="114"/>
      <c r="N128" s="114"/>
      <c r="O128" s="114"/>
      <c r="P128" s="114"/>
      <c r="Q128" s="114"/>
      <c r="R128" s="114"/>
    </row>
    <row r="129" spans="2:18" x14ac:dyDescent="0.2">
      <c r="B129" s="114"/>
      <c r="C129" s="114"/>
      <c r="D129" s="114"/>
      <c r="E129" s="114"/>
      <c r="F129" s="114"/>
      <c r="G129" s="114"/>
      <c r="H129" s="114"/>
      <c r="I129" s="114"/>
      <c r="J129" s="114"/>
      <c r="K129" s="114"/>
      <c r="L129" s="114"/>
      <c r="M129" s="114"/>
      <c r="N129" s="114"/>
      <c r="O129" s="114"/>
      <c r="P129" s="114"/>
      <c r="Q129" s="114"/>
      <c r="R129" s="114"/>
    </row>
    <row r="130" spans="2:18" x14ac:dyDescent="0.2">
      <c r="B130" s="114"/>
      <c r="C130" s="114"/>
      <c r="D130" s="114"/>
      <c r="E130" s="114"/>
      <c r="F130" s="114"/>
      <c r="G130" s="114"/>
      <c r="H130" s="114"/>
      <c r="I130" s="114"/>
      <c r="J130" s="114"/>
      <c r="K130" s="114"/>
      <c r="L130" s="114"/>
      <c r="M130" s="114"/>
      <c r="N130" s="114"/>
      <c r="O130" s="114"/>
      <c r="P130" s="114"/>
      <c r="Q130" s="114"/>
      <c r="R130" s="114"/>
    </row>
    <row r="131" spans="2:18" x14ac:dyDescent="0.2">
      <c r="B131" s="114"/>
      <c r="C131" s="114"/>
      <c r="D131" s="114"/>
      <c r="E131" s="114"/>
      <c r="F131" s="114"/>
      <c r="G131" s="114"/>
      <c r="H131" s="114"/>
      <c r="I131" s="114"/>
      <c r="J131" s="114"/>
      <c r="K131" s="114"/>
      <c r="L131" s="114"/>
      <c r="M131" s="114"/>
      <c r="N131" s="114"/>
      <c r="O131" s="114"/>
      <c r="P131" s="114"/>
      <c r="Q131" s="114"/>
      <c r="R131" s="114"/>
    </row>
    <row r="132" spans="2:18" x14ac:dyDescent="0.2">
      <c r="B132" s="114"/>
      <c r="C132" s="114"/>
      <c r="D132" s="114"/>
      <c r="E132" s="114"/>
      <c r="F132" s="114"/>
      <c r="G132" s="114"/>
      <c r="H132" s="114"/>
      <c r="I132" s="114"/>
      <c r="J132" s="114"/>
      <c r="K132" s="114"/>
      <c r="L132" s="114"/>
      <c r="M132" s="114"/>
      <c r="N132" s="114"/>
      <c r="O132" s="114"/>
      <c r="P132" s="114"/>
      <c r="Q132" s="114"/>
      <c r="R132" s="114"/>
    </row>
    <row r="133" spans="2:18" x14ac:dyDescent="0.2">
      <c r="B133" s="114"/>
      <c r="C133" s="114"/>
      <c r="D133" s="114"/>
      <c r="E133" s="114"/>
      <c r="F133" s="114"/>
      <c r="G133" s="114"/>
      <c r="H133" s="114"/>
      <c r="I133" s="114"/>
      <c r="J133" s="114"/>
      <c r="K133" s="114"/>
      <c r="L133" s="114"/>
      <c r="M133" s="114"/>
      <c r="N133" s="114"/>
      <c r="O133" s="114"/>
      <c r="P133" s="114"/>
      <c r="Q133" s="114"/>
      <c r="R133" s="114"/>
    </row>
    <row r="134" spans="2:18" x14ac:dyDescent="0.2">
      <c r="B134" s="114"/>
      <c r="C134" s="114"/>
      <c r="D134" s="114"/>
      <c r="E134" s="114"/>
      <c r="F134" s="114"/>
      <c r="G134" s="114"/>
      <c r="H134" s="114"/>
      <c r="I134" s="114"/>
      <c r="J134" s="114"/>
      <c r="K134" s="114"/>
      <c r="L134" s="114"/>
      <c r="M134" s="114"/>
      <c r="N134" s="114"/>
      <c r="O134" s="114"/>
      <c r="P134" s="114"/>
      <c r="Q134" s="114"/>
      <c r="R134" s="114"/>
    </row>
    <row r="135" spans="2:18" x14ac:dyDescent="0.2">
      <c r="B135" s="114"/>
      <c r="C135" s="114"/>
      <c r="D135" s="114"/>
      <c r="E135" s="114"/>
      <c r="F135" s="114"/>
      <c r="G135" s="114"/>
      <c r="H135" s="114"/>
      <c r="I135" s="114"/>
      <c r="J135" s="114"/>
      <c r="K135" s="114"/>
      <c r="L135" s="114"/>
      <c r="M135" s="114"/>
      <c r="N135" s="114"/>
      <c r="O135" s="114"/>
      <c r="P135" s="114"/>
      <c r="Q135" s="114"/>
      <c r="R135" s="114"/>
    </row>
    <row r="136" spans="2:18" x14ac:dyDescent="0.2">
      <c r="B136" s="114"/>
      <c r="C136" s="114"/>
      <c r="D136" s="114"/>
      <c r="E136" s="114"/>
      <c r="F136" s="114"/>
      <c r="G136" s="114"/>
      <c r="H136" s="114"/>
      <c r="I136" s="114"/>
      <c r="J136" s="114"/>
      <c r="K136" s="114"/>
      <c r="L136" s="114"/>
      <c r="M136" s="114"/>
      <c r="N136" s="114"/>
      <c r="O136" s="114"/>
      <c r="P136" s="114"/>
      <c r="Q136" s="114"/>
      <c r="R136" s="114"/>
    </row>
    <row r="137" spans="2:18" x14ac:dyDescent="0.2">
      <c r="B137" s="114"/>
      <c r="C137" s="114"/>
      <c r="D137" s="114"/>
      <c r="E137" s="114"/>
      <c r="F137" s="114"/>
      <c r="G137" s="114"/>
      <c r="H137" s="114"/>
      <c r="I137" s="114"/>
      <c r="J137" s="114"/>
      <c r="K137" s="114"/>
      <c r="L137" s="114"/>
      <c r="M137" s="114"/>
      <c r="N137" s="114"/>
      <c r="O137" s="114"/>
      <c r="P137" s="114"/>
      <c r="Q137" s="114"/>
      <c r="R137" s="114"/>
    </row>
    <row r="138" spans="2:18" x14ac:dyDescent="0.2">
      <c r="B138" s="114"/>
      <c r="C138" s="114"/>
      <c r="D138" s="114"/>
      <c r="E138" s="114"/>
      <c r="F138" s="114"/>
      <c r="G138" s="114"/>
      <c r="H138" s="114"/>
      <c r="I138" s="114"/>
      <c r="J138" s="114"/>
      <c r="K138" s="114"/>
      <c r="L138" s="114"/>
      <c r="M138" s="114"/>
      <c r="N138" s="114"/>
      <c r="O138" s="114"/>
      <c r="P138" s="114"/>
      <c r="Q138" s="114"/>
      <c r="R138" s="114"/>
    </row>
    <row r="139" spans="2:18" x14ac:dyDescent="0.2">
      <c r="B139" s="114"/>
      <c r="C139" s="114"/>
      <c r="D139" s="114"/>
      <c r="E139" s="114"/>
      <c r="F139" s="114"/>
      <c r="G139" s="114"/>
      <c r="H139" s="114"/>
      <c r="I139" s="114"/>
      <c r="J139" s="114"/>
      <c r="K139" s="114"/>
      <c r="L139" s="114"/>
      <c r="M139" s="114"/>
      <c r="N139" s="114"/>
      <c r="O139" s="114"/>
      <c r="P139" s="114"/>
      <c r="Q139" s="114"/>
      <c r="R139" s="114"/>
    </row>
    <row r="140" spans="2:18" x14ac:dyDescent="0.2">
      <c r="B140" s="114"/>
      <c r="C140" s="114"/>
      <c r="D140" s="114"/>
      <c r="E140" s="114"/>
      <c r="F140" s="114"/>
      <c r="G140" s="114"/>
      <c r="H140" s="114"/>
      <c r="I140" s="114"/>
      <c r="J140" s="114"/>
      <c r="K140" s="114"/>
      <c r="L140" s="114"/>
      <c r="M140" s="114"/>
      <c r="N140" s="114"/>
      <c r="O140" s="114"/>
      <c r="P140" s="114"/>
      <c r="Q140" s="114"/>
      <c r="R140" s="114"/>
    </row>
    <row r="141" spans="2:18" x14ac:dyDescent="0.2">
      <c r="B141" s="114"/>
      <c r="C141" s="114"/>
      <c r="D141" s="114"/>
      <c r="E141" s="114"/>
      <c r="F141" s="114"/>
      <c r="G141" s="114"/>
      <c r="H141" s="114"/>
      <c r="I141" s="114"/>
      <c r="J141" s="114"/>
      <c r="K141" s="114"/>
      <c r="L141" s="114"/>
      <c r="M141" s="114"/>
      <c r="N141" s="114"/>
      <c r="O141" s="114"/>
      <c r="P141" s="114"/>
      <c r="Q141" s="114"/>
      <c r="R141" s="114"/>
    </row>
    <row r="142" spans="2:18" x14ac:dyDescent="0.2">
      <c r="B142" s="114"/>
      <c r="C142" s="114"/>
      <c r="D142" s="114"/>
      <c r="E142" s="114"/>
      <c r="F142" s="114"/>
      <c r="G142" s="114"/>
      <c r="H142" s="114"/>
      <c r="I142" s="114"/>
      <c r="J142" s="114"/>
      <c r="K142" s="114"/>
      <c r="L142" s="114"/>
      <c r="M142" s="114"/>
      <c r="N142" s="114"/>
      <c r="O142" s="114"/>
      <c r="P142" s="114"/>
      <c r="Q142" s="114"/>
      <c r="R142" s="114"/>
    </row>
    <row r="143" spans="2:18" x14ac:dyDescent="0.2">
      <c r="B143" s="114"/>
      <c r="C143" s="114"/>
      <c r="D143" s="114"/>
      <c r="E143" s="114"/>
      <c r="F143" s="114"/>
      <c r="G143" s="114"/>
      <c r="H143" s="114"/>
      <c r="I143" s="114"/>
      <c r="J143" s="114"/>
      <c r="K143" s="114"/>
      <c r="L143" s="114"/>
      <c r="M143" s="114"/>
      <c r="N143" s="114"/>
      <c r="O143" s="114"/>
      <c r="P143" s="114"/>
      <c r="Q143" s="114"/>
      <c r="R143" s="114"/>
    </row>
    <row r="144" spans="2:18" x14ac:dyDescent="0.2">
      <c r="B144" s="114"/>
      <c r="C144" s="114"/>
      <c r="D144" s="114"/>
      <c r="E144" s="114"/>
      <c r="F144" s="114"/>
      <c r="G144" s="114"/>
      <c r="H144" s="114"/>
      <c r="I144" s="114"/>
      <c r="J144" s="114"/>
      <c r="K144" s="114"/>
      <c r="L144" s="114"/>
      <c r="M144" s="114"/>
      <c r="N144" s="114"/>
      <c r="O144" s="114"/>
      <c r="P144" s="114"/>
      <c r="Q144" s="114"/>
      <c r="R144" s="114"/>
    </row>
    <row r="145" spans="2:18" x14ac:dyDescent="0.2">
      <c r="B145" s="114"/>
      <c r="C145" s="114"/>
      <c r="D145" s="114"/>
      <c r="E145" s="114"/>
      <c r="F145" s="114"/>
      <c r="G145" s="114"/>
      <c r="H145" s="114"/>
      <c r="I145" s="114"/>
      <c r="J145" s="114"/>
      <c r="K145" s="114"/>
      <c r="L145" s="114"/>
      <c r="M145" s="114"/>
      <c r="N145" s="114"/>
      <c r="O145" s="114"/>
      <c r="P145" s="114"/>
      <c r="Q145" s="114"/>
      <c r="R145" s="114"/>
    </row>
    <row r="146" spans="2:18" x14ac:dyDescent="0.2">
      <c r="B146" s="114"/>
      <c r="C146" s="114"/>
      <c r="D146" s="114"/>
      <c r="E146" s="114"/>
      <c r="F146" s="114"/>
      <c r="G146" s="114"/>
      <c r="H146" s="114"/>
      <c r="I146" s="114"/>
      <c r="J146" s="114"/>
      <c r="K146" s="114"/>
      <c r="L146" s="114"/>
      <c r="M146" s="114"/>
      <c r="N146" s="114"/>
      <c r="O146" s="114"/>
      <c r="P146" s="114"/>
      <c r="Q146" s="114"/>
      <c r="R146" s="114"/>
    </row>
    <row r="147" spans="2:18" x14ac:dyDescent="0.2">
      <c r="B147" s="114"/>
      <c r="C147" s="114"/>
      <c r="D147" s="114"/>
      <c r="E147" s="114"/>
      <c r="F147" s="114"/>
      <c r="G147" s="114"/>
      <c r="H147" s="114"/>
      <c r="I147" s="114"/>
      <c r="J147" s="114"/>
      <c r="K147" s="114"/>
      <c r="L147" s="114"/>
      <c r="M147" s="114"/>
      <c r="N147" s="114"/>
      <c r="O147" s="114"/>
      <c r="P147" s="114"/>
      <c r="Q147" s="114"/>
      <c r="R147" s="114"/>
    </row>
    <row r="148" spans="2:18" x14ac:dyDescent="0.2">
      <c r="B148" s="114"/>
      <c r="C148" s="114"/>
      <c r="D148" s="114"/>
      <c r="E148" s="114"/>
      <c r="F148" s="114"/>
      <c r="G148" s="114"/>
      <c r="H148" s="114"/>
      <c r="I148" s="114"/>
      <c r="J148" s="114"/>
      <c r="K148" s="114"/>
      <c r="L148" s="114"/>
      <c r="M148" s="114"/>
      <c r="N148" s="114"/>
      <c r="O148" s="114"/>
      <c r="P148" s="114"/>
      <c r="Q148" s="114"/>
      <c r="R148" s="114"/>
    </row>
    <row r="149" spans="2:18" x14ac:dyDescent="0.2">
      <c r="B149" s="114"/>
      <c r="C149" s="114"/>
      <c r="D149" s="114"/>
      <c r="E149" s="114"/>
      <c r="F149" s="114"/>
      <c r="G149" s="114"/>
      <c r="H149" s="114"/>
      <c r="I149" s="114"/>
      <c r="J149" s="114"/>
      <c r="K149" s="114"/>
      <c r="L149" s="114"/>
      <c r="M149" s="114"/>
      <c r="N149" s="114"/>
      <c r="O149" s="114"/>
      <c r="P149" s="114"/>
      <c r="Q149" s="114"/>
      <c r="R149" s="114"/>
    </row>
    <row r="150" spans="2:18" x14ac:dyDescent="0.2">
      <c r="B150" s="114"/>
      <c r="C150" s="114"/>
      <c r="D150" s="114"/>
      <c r="E150" s="114"/>
      <c r="F150" s="114"/>
      <c r="G150" s="114"/>
      <c r="H150" s="114"/>
      <c r="I150" s="114"/>
      <c r="J150" s="114"/>
      <c r="K150" s="114"/>
      <c r="L150" s="114"/>
      <c r="M150" s="114"/>
      <c r="N150" s="114"/>
      <c r="O150" s="114"/>
      <c r="P150" s="114"/>
      <c r="Q150" s="114"/>
      <c r="R150" s="114"/>
    </row>
    <row r="151" spans="2:18" x14ac:dyDescent="0.2">
      <c r="B151" s="114"/>
      <c r="C151" s="114"/>
      <c r="D151" s="114"/>
      <c r="E151" s="114"/>
      <c r="F151" s="114"/>
      <c r="G151" s="114"/>
      <c r="H151" s="114"/>
      <c r="I151" s="114"/>
      <c r="J151" s="114"/>
      <c r="K151" s="114"/>
      <c r="L151" s="114"/>
      <c r="M151" s="114"/>
      <c r="N151" s="114"/>
      <c r="O151" s="114"/>
      <c r="P151" s="114"/>
      <c r="Q151" s="114"/>
      <c r="R151" s="114"/>
    </row>
    <row r="152" spans="2:18" x14ac:dyDescent="0.2">
      <c r="B152" s="114"/>
      <c r="C152" s="114"/>
      <c r="D152" s="114"/>
      <c r="E152" s="114"/>
      <c r="F152" s="114"/>
      <c r="G152" s="114"/>
      <c r="H152" s="114"/>
      <c r="I152" s="114"/>
      <c r="J152" s="114"/>
      <c r="K152" s="114"/>
      <c r="L152" s="114"/>
      <c r="M152" s="114"/>
      <c r="N152" s="114"/>
      <c r="O152" s="114"/>
      <c r="P152" s="114"/>
      <c r="Q152" s="114"/>
      <c r="R152" s="114"/>
    </row>
    <row r="153" spans="2:18" x14ac:dyDescent="0.2">
      <c r="B153" s="114"/>
      <c r="C153" s="114"/>
      <c r="D153" s="114"/>
      <c r="E153" s="114"/>
      <c r="F153" s="114"/>
      <c r="G153" s="114"/>
      <c r="H153" s="114"/>
      <c r="I153" s="114"/>
      <c r="J153" s="114"/>
      <c r="K153" s="114"/>
      <c r="L153" s="114"/>
      <c r="M153" s="114"/>
      <c r="N153" s="114"/>
      <c r="O153" s="114"/>
      <c r="P153" s="114"/>
      <c r="Q153" s="114"/>
      <c r="R153" s="114"/>
    </row>
    <row r="154" spans="2:18" x14ac:dyDescent="0.2">
      <c r="B154" s="114"/>
      <c r="C154" s="114"/>
      <c r="D154" s="114"/>
      <c r="E154" s="114"/>
      <c r="F154" s="114"/>
      <c r="G154" s="114"/>
      <c r="H154" s="114"/>
      <c r="I154" s="114"/>
      <c r="J154" s="114"/>
      <c r="K154" s="114"/>
      <c r="L154" s="114"/>
      <c r="M154" s="114"/>
      <c r="N154" s="114"/>
      <c r="O154" s="114"/>
      <c r="P154" s="114"/>
      <c r="Q154" s="114"/>
      <c r="R154" s="114"/>
    </row>
    <row r="155" spans="2:18" x14ac:dyDescent="0.2">
      <c r="B155" s="114"/>
      <c r="C155" s="114"/>
      <c r="D155" s="114"/>
      <c r="E155" s="114"/>
      <c r="F155" s="114"/>
      <c r="G155" s="114"/>
      <c r="H155" s="114"/>
      <c r="I155" s="114"/>
      <c r="J155" s="114"/>
      <c r="K155" s="114"/>
      <c r="L155" s="114"/>
      <c r="M155" s="114"/>
      <c r="N155" s="114"/>
      <c r="O155" s="114"/>
      <c r="P155" s="114"/>
      <c r="Q155" s="114"/>
      <c r="R155" s="114"/>
    </row>
    <row r="156" spans="2:18" x14ac:dyDescent="0.2">
      <c r="B156" s="114"/>
      <c r="C156" s="114"/>
      <c r="D156" s="114"/>
      <c r="E156" s="114"/>
      <c r="F156" s="114"/>
      <c r="G156" s="114"/>
      <c r="H156" s="114"/>
      <c r="I156" s="114"/>
      <c r="J156" s="114"/>
      <c r="K156" s="114"/>
      <c r="L156" s="114"/>
      <c r="M156" s="114"/>
      <c r="N156" s="114"/>
      <c r="O156" s="114"/>
      <c r="P156" s="114"/>
      <c r="Q156" s="114"/>
      <c r="R156" s="114"/>
    </row>
    <row r="157" spans="2:18" x14ac:dyDescent="0.2">
      <c r="B157" s="114"/>
      <c r="C157" s="114"/>
      <c r="D157" s="114"/>
      <c r="E157" s="114"/>
      <c r="F157" s="114"/>
      <c r="G157" s="114"/>
      <c r="H157" s="114"/>
      <c r="I157" s="114"/>
      <c r="J157" s="114"/>
      <c r="K157" s="114"/>
      <c r="L157" s="114"/>
      <c r="M157" s="114"/>
      <c r="N157" s="114"/>
      <c r="O157" s="114"/>
      <c r="P157" s="114"/>
      <c r="Q157" s="114"/>
      <c r="R157" s="114"/>
    </row>
    <row r="158" spans="2:18" x14ac:dyDescent="0.2">
      <c r="B158" s="114"/>
      <c r="C158" s="114"/>
      <c r="D158" s="114"/>
      <c r="E158" s="114"/>
      <c r="F158" s="114"/>
      <c r="G158" s="114"/>
      <c r="H158" s="114"/>
      <c r="I158" s="114"/>
      <c r="J158" s="114"/>
      <c r="K158" s="114"/>
      <c r="L158" s="114"/>
      <c r="M158" s="114"/>
      <c r="N158" s="114"/>
      <c r="O158" s="114"/>
      <c r="P158" s="114"/>
      <c r="Q158" s="114"/>
      <c r="R158" s="114"/>
    </row>
    <row r="159" spans="2:18" x14ac:dyDescent="0.2">
      <c r="B159" s="114"/>
      <c r="C159" s="114"/>
      <c r="D159" s="114"/>
      <c r="E159" s="114"/>
      <c r="F159" s="114"/>
      <c r="G159" s="114"/>
      <c r="H159" s="114"/>
      <c r="I159" s="114"/>
      <c r="J159" s="114"/>
      <c r="K159" s="114"/>
      <c r="L159" s="114"/>
      <c r="M159" s="114"/>
      <c r="N159" s="114"/>
      <c r="O159" s="114"/>
      <c r="P159" s="114"/>
      <c r="Q159" s="114"/>
      <c r="R159" s="114"/>
    </row>
    <row r="160" spans="2:18" x14ac:dyDescent="0.2">
      <c r="B160" s="114"/>
      <c r="C160" s="114"/>
      <c r="D160" s="114"/>
      <c r="E160" s="114"/>
      <c r="F160" s="114"/>
      <c r="G160" s="114"/>
      <c r="H160" s="114"/>
      <c r="I160" s="114"/>
      <c r="J160" s="114"/>
      <c r="K160" s="114"/>
      <c r="L160" s="114"/>
      <c r="M160" s="114"/>
      <c r="N160" s="114"/>
      <c r="O160" s="114"/>
      <c r="P160" s="114"/>
      <c r="Q160" s="114"/>
      <c r="R160" s="114"/>
    </row>
    <row r="161" spans="2:18" x14ac:dyDescent="0.2">
      <c r="B161" s="114"/>
      <c r="C161" s="114"/>
      <c r="D161" s="114"/>
      <c r="E161" s="114"/>
      <c r="F161" s="114"/>
      <c r="G161" s="114"/>
      <c r="H161" s="114"/>
      <c r="I161" s="114"/>
      <c r="J161" s="114"/>
      <c r="K161" s="114"/>
      <c r="L161" s="114"/>
      <c r="M161" s="114"/>
      <c r="N161" s="114"/>
      <c r="O161" s="114"/>
      <c r="P161" s="114"/>
      <c r="Q161" s="114"/>
      <c r="R161" s="114"/>
    </row>
    <row r="162" spans="2:18" x14ac:dyDescent="0.2">
      <c r="B162" s="114"/>
      <c r="C162" s="114"/>
      <c r="D162" s="114"/>
      <c r="E162" s="114"/>
      <c r="F162" s="114"/>
      <c r="G162" s="114"/>
      <c r="H162" s="114"/>
      <c r="I162" s="114"/>
      <c r="J162" s="114"/>
      <c r="K162" s="114"/>
      <c r="L162" s="114"/>
      <c r="M162" s="114"/>
      <c r="N162" s="114"/>
      <c r="O162" s="114"/>
      <c r="P162" s="114"/>
      <c r="Q162" s="114"/>
      <c r="R162" s="114"/>
    </row>
    <row r="163" spans="2:18" x14ac:dyDescent="0.2">
      <c r="B163" s="114"/>
      <c r="C163" s="114"/>
      <c r="D163" s="114"/>
      <c r="E163" s="114"/>
      <c r="F163" s="114"/>
      <c r="G163" s="114"/>
      <c r="H163" s="114"/>
      <c r="I163" s="114"/>
      <c r="J163" s="114"/>
      <c r="K163" s="114"/>
      <c r="L163" s="114"/>
      <c r="M163" s="114"/>
      <c r="N163" s="114"/>
      <c r="O163" s="114"/>
      <c r="P163" s="114"/>
      <c r="Q163" s="114"/>
      <c r="R163" s="114"/>
    </row>
    <row r="164" spans="2:18" x14ac:dyDescent="0.2">
      <c r="B164" s="114"/>
      <c r="C164" s="114"/>
      <c r="D164" s="114"/>
      <c r="E164" s="114"/>
      <c r="F164" s="114"/>
      <c r="G164" s="114"/>
      <c r="H164" s="114"/>
      <c r="I164" s="114"/>
      <c r="J164" s="114"/>
      <c r="K164" s="114"/>
      <c r="L164" s="114"/>
      <c r="M164" s="114"/>
      <c r="N164" s="114"/>
      <c r="O164" s="114"/>
      <c r="P164" s="114"/>
      <c r="Q164" s="114"/>
      <c r="R164" s="114"/>
    </row>
    <row r="165" spans="2:18" x14ac:dyDescent="0.2">
      <c r="B165" s="114"/>
      <c r="C165" s="114"/>
      <c r="D165" s="114"/>
      <c r="E165" s="114"/>
      <c r="F165" s="114"/>
      <c r="G165" s="114"/>
      <c r="H165" s="114"/>
      <c r="I165" s="114"/>
      <c r="J165" s="114"/>
      <c r="K165" s="114"/>
      <c r="L165" s="114"/>
      <c r="M165" s="114"/>
      <c r="N165" s="114"/>
      <c r="O165" s="114"/>
      <c r="P165" s="114"/>
      <c r="Q165" s="114"/>
      <c r="R165" s="114"/>
    </row>
    <row r="166" spans="2:18" x14ac:dyDescent="0.2">
      <c r="B166" s="114"/>
      <c r="C166" s="114"/>
      <c r="D166" s="114"/>
      <c r="E166" s="114"/>
      <c r="F166" s="114"/>
      <c r="G166" s="114"/>
      <c r="H166" s="114"/>
      <c r="I166" s="114"/>
      <c r="J166" s="114"/>
      <c r="K166" s="114"/>
      <c r="L166" s="114"/>
      <c r="M166" s="114"/>
      <c r="N166" s="114"/>
      <c r="O166" s="114"/>
      <c r="P166" s="114"/>
      <c r="Q166" s="114"/>
      <c r="R166" s="114"/>
    </row>
    <row r="167" spans="2:18" x14ac:dyDescent="0.2">
      <c r="B167" s="114"/>
      <c r="C167" s="114"/>
      <c r="D167" s="114"/>
      <c r="E167" s="114"/>
      <c r="F167" s="114"/>
      <c r="G167" s="114"/>
      <c r="H167" s="114"/>
      <c r="I167" s="114"/>
      <c r="J167" s="114"/>
      <c r="K167" s="114"/>
      <c r="L167" s="114"/>
      <c r="M167" s="114"/>
      <c r="N167" s="114"/>
      <c r="O167" s="114"/>
      <c r="P167" s="114"/>
      <c r="Q167" s="114"/>
      <c r="R167" s="114"/>
    </row>
    <row r="168" spans="2:18" x14ac:dyDescent="0.2">
      <c r="B168" s="114"/>
      <c r="C168" s="114"/>
      <c r="D168" s="114"/>
      <c r="E168" s="114"/>
      <c r="F168" s="114"/>
      <c r="G168" s="114"/>
      <c r="H168" s="114"/>
      <c r="I168" s="114"/>
      <c r="J168" s="114"/>
      <c r="K168" s="114"/>
      <c r="L168" s="114"/>
      <c r="M168" s="114"/>
      <c r="N168" s="114"/>
      <c r="O168" s="114"/>
      <c r="P168" s="114"/>
      <c r="Q168" s="114"/>
      <c r="R168" s="114"/>
    </row>
    <row r="169" spans="2:18" x14ac:dyDescent="0.2">
      <c r="B169" s="114"/>
      <c r="C169" s="114"/>
      <c r="D169" s="114"/>
      <c r="E169" s="114"/>
      <c r="F169" s="114"/>
      <c r="G169" s="114"/>
      <c r="H169" s="114"/>
      <c r="I169" s="114"/>
      <c r="J169" s="114"/>
      <c r="K169" s="114"/>
      <c r="L169" s="114"/>
      <c r="M169" s="114"/>
      <c r="N169" s="114"/>
      <c r="O169" s="114"/>
      <c r="P169" s="114"/>
      <c r="Q169" s="114"/>
      <c r="R169" s="114"/>
    </row>
    <row r="170" spans="2:18" x14ac:dyDescent="0.2">
      <c r="B170" s="114"/>
      <c r="C170" s="114"/>
      <c r="D170" s="114"/>
      <c r="E170" s="114"/>
      <c r="F170" s="114"/>
      <c r="G170" s="114"/>
      <c r="H170" s="114"/>
      <c r="I170" s="114"/>
      <c r="J170" s="114"/>
      <c r="K170" s="114"/>
      <c r="L170" s="114"/>
      <c r="M170" s="114"/>
      <c r="N170" s="114"/>
      <c r="O170" s="114"/>
      <c r="P170" s="114"/>
      <c r="Q170" s="114"/>
      <c r="R170" s="114"/>
    </row>
    <row r="171" spans="2:18" x14ac:dyDescent="0.2">
      <c r="B171" s="114"/>
      <c r="C171" s="114"/>
      <c r="D171" s="114"/>
      <c r="E171" s="114"/>
      <c r="F171" s="114"/>
      <c r="G171" s="114"/>
      <c r="H171" s="114"/>
      <c r="I171" s="114"/>
      <c r="J171" s="114"/>
      <c r="K171" s="114"/>
      <c r="L171" s="114"/>
      <c r="M171" s="114"/>
      <c r="N171" s="114"/>
      <c r="O171" s="114"/>
      <c r="P171" s="114"/>
      <c r="Q171" s="114"/>
      <c r="R171" s="114"/>
    </row>
    <row r="172" spans="2:18" x14ac:dyDescent="0.2">
      <c r="B172" s="114"/>
      <c r="C172" s="114"/>
      <c r="D172" s="114"/>
      <c r="E172" s="114"/>
      <c r="F172" s="114"/>
      <c r="G172" s="114"/>
      <c r="H172" s="114"/>
      <c r="I172" s="114"/>
      <c r="J172" s="114"/>
      <c r="K172" s="114"/>
      <c r="L172" s="114"/>
      <c r="M172" s="114"/>
      <c r="N172" s="114"/>
      <c r="O172" s="114"/>
      <c r="P172" s="114"/>
      <c r="Q172" s="114"/>
      <c r="R172" s="114"/>
    </row>
    <row r="173" spans="2:18" x14ac:dyDescent="0.2">
      <c r="B173" s="114"/>
      <c r="C173" s="114"/>
      <c r="D173" s="114"/>
      <c r="E173" s="114"/>
      <c r="F173" s="114"/>
      <c r="G173" s="114"/>
      <c r="H173" s="114"/>
      <c r="I173" s="114"/>
      <c r="J173" s="114"/>
      <c r="K173" s="114"/>
      <c r="L173" s="114"/>
      <c r="M173" s="114"/>
      <c r="N173" s="114"/>
      <c r="O173" s="114"/>
      <c r="P173" s="114"/>
      <c r="Q173" s="114"/>
      <c r="R173" s="114"/>
    </row>
    <row r="174" spans="2:18" x14ac:dyDescent="0.2">
      <c r="B174" s="114"/>
      <c r="C174" s="114"/>
      <c r="D174" s="114"/>
      <c r="E174" s="114"/>
      <c r="F174" s="114"/>
      <c r="G174" s="114"/>
      <c r="H174" s="114"/>
      <c r="I174" s="114"/>
      <c r="J174" s="114"/>
      <c r="K174" s="114"/>
      <c r="L174" s="114"/>
      <c r="M174" s="114"/>
      <c r="N174" s="114"/>
      <c r="O174" s="114"/>
      <c r="P174" s="114"/>
      <c r="Q174" s="114"/>
      <c r="R174" s="114"/>
    </row>
    <row r="175" spans="2:18" x14ac:dyDescent="0.2">
      <c r="B175" s="114"/>
      <c r="C175" s="114"/>
      <c r="D175" s="114"/>
      <c r="E175" s="114"/>
      <c r="F175" s="114"/>
      <c r="G175" s="114"/>
      <c r="H175" s="114"/>
      <c r="I175" s="114"/>
      <c r="J175" s="114"/>
      <c r="K175" s="114"/>
      <c r="L175" s="114"/>
      <c r="M175" s="114"/>
      <c r="N175" s="114"/>
      <c r="O175" s="114"/>
      <c r="P175" s="114"/>
      <c r="Q175" s="114"/>
      <c r="R175" s="114"/>
    </row>
    <row r="176" spans="2:18" x14ac:dyDescent="0.2">
      <c r="B176" s="114"/>
      <c r="C176" s="114"/>
      <c r="D176" s="114"/>
      <c r="E176" s="114"/>
      <c r="F176" s="114"/>
      <c r="G176" s="114"/>
      <c r="H176" s="114"/>
      <c r="I176" s="114"/>
      <c r="J176" s="114"/>
      <c r="K176" s="114"/>
      <c r="L176" s="114"/>
      <c r="M176" s="114"/>
      <c r="N176" s="114"/>
      <c r="O176" s="114"/>
      <c r="P176" s="114"/>
      <c r="Q176" s="114"/>
      <c r="R176" s="114"/>
    </row>
    <row r="177" spans="2:18" x14ac:dyDescent="0.2">
      <c r="B177" s="114"/>
      <c r="C177" s="114"/>
      <c r="D177" s="114"/>
      <c r="E177" s="114"/>
      <c r="F177" s="114"/>
      <c r="G177" s="114"/>
      <c r="H177" s="114"/>
      <c r="I177" s="114"/>
      <c r="J177" s="114"/>
      <c r="K177" s="114"/>
      <c r="L177" s="114"/>
      <c r="M177" s="114"/>
      <c r="N177" s="114"/>
      <c r="O177" s="114"/>
      <c r="P177" s="114"/>
      <c r="Q177" s="114"/>
      <c r="R177" s="114"/>
    </row>
    <row r="178" spans="2:18" x14ac:dyDescent="0.2">
      <c r="B178" s="114"/>
      <c r="C178" s="114"/>
      <c r="D178" s="114"/>
      <c r="E178" s="114"/>
      <c r="F178" s="114"/>
      <c r="G178" s="114"/>
      <c r="H178" s="114"/>
      <c r="I178" s="114"/>
      <c r="J178" s="114"/>
      <c r="K178" s="114"/>
      <c r="L178" s="114"/>
      <c r="M178" s="114"/>
      <c r="N178" s="114"/>
      <c r="O178" s="114"/>
      <c r="P178" s="114"/>
      <c r="Q178" s="114"/>
      <c r="R178" s="114"/>
    </row>
    <row r="179" spans="2:18" x14ac:dyDescent="0.2">
      <c r="B179" s="114"/>
      <c r="C179" s="114"/>
      <c r="D179" s="114"/>
      <c r="E179" s="114"/>
      <c r="F179" s="114"/>
      <c r="G179" s="114"/>
      <c r="H179" s="114"/>
      <c r="I179" s="114"/>
      <c r="J179" s="114"/>
      <c r="K179" s="114"/>
      <c r="L179" s="114"/>
      <c r="M179" s="114"/>
      <c r="N179" s="114"/>
      <c r="O179" s="114"/>
      <c r="P179" s="114"/>
      <c r="Q179" s="114"/>
      <c r="R179" s="114"/>
    </row>
    <row r="180" spans="2:18" x14ac:dyDescent="0.2">
      <c r="B180" s="114"/>
      <c r="C180" s="114"/>
      <c r="D180" s="114"/>
      <c r="E180" s="114"/>
      <c r="F180" s="114"/>
      <c r="G180" s="114"/>
      <c r="H180" s="114"/>
      <c r="I180" s="114"/>
      <c r="J180" s="114"/>
      <c r="K180" s="114"/>
      <c r="L180" s="114"/>
      <c r="M180" s="114"/>
      <c r="N180" s="114"/>
      <c r="O180" s="114"/>
      <c r="P180" s="114"/>
      <c r="Q180" s="114"/>
      <c r="R180" s="114"/>
    </row>
    <row r="181" spans="2:18" x14ac:dyDescent="0.2">
      <c r="B181" s="114"/>
      <c r="C181" s="114"/>
      <c r="D181" s="114"/>
      <c r="E181" s="114"/>
      <c r="F181" s="114"/>
      <c r="G181" s="114"/>
      <c r="H181" s="114"/>
      <c r="I181" s="114"/>
      <c r="J181" s="114"/>
      <c r="K181" s="114"/>
      <c r="L181" s="114"/>
      <c r="M181" s="114"/>
      <c r="N181" s="114"/>
      <c r="O181" s="114"/>
      <c r="P181" s="114"/>
      <c r="Q181" s="114"/>
      <c r="R181" s="114"/>
    </row>
    <row r="182" spans="2:18" x14ac:dyDescent="0.2">
      <c r="B182" s="114"/>
      <c r="C182" s="114"/>
      <c r="D182" s="114"/>
      <c r="E182" s="114"/>
      <c r="F182" s="114"/>
      <c r="G182" s="114"/>
      <c r="H182" s="114"/>
      <c r="I182" s="114"/>
      <c r="J182" s="114"/>
      <c r="K182" s="114"/>
      <c r="L182" s="114"/>
      <c r="M182" s="114"/>
      <c r="N182" s="114"/>
      <c r="O182" s="114"/>
      <c r="P182" s="114"/>
      <c r="Q182" s="114"/>
      <c r="R182" s="114"/>
    </row>
    <row r="183" spans="2:18" x14ac:dyDescent="0.2">
      <c r="B183" s="114"/>
      <c r="C183" s="114"/>
      <c r="D183" s="114"/>
      <c r="E183" s="114"/>
      <c r="F183" s="114"/>
      <c r="G183" s="114"/>
      <c r="H183" s="114"/>
      <c r="I183" s="114"/>
      <c r="J183" s="114"/>
      <c r="K183" s="114"/>
      <c r="L183" s="114"/>
      <c r="M183" s="114"/>
      <c r="N183" s="114"/>
      <c r="O183" s="114"/>
      <c r="P183" s="114"/>
      <c r="Q183" s="114"/>
      <c r="R183" s="114"/>
    </row>
    <row r="184" spans="2:18" x14ac:dyDescent="0.2">
      <c r="B184" s="114"/>
      <c r="C184" s="114"/>
      <c r="D184" s="114"/>
      <c r="E184" s="114"/>
      <c r="F184" s="114"/>
      <c r="G184" s="114"/>
      <c r="H184" s="114"/>
      <c r="I184" s="114"/>
      <c r="J184" s="114"/>
      <c r="K184" s="114"/>
      <c r="L184" s="114"/>
      <c r="M184" s="114"/>
      <c r="N184" s="114"/>
      <c r="O184" s="114"/>
      <c r="P184" s="114"/>
      <c r="Q184" s="114"/>
      <c r="R184" s="114"/>
    </row>
    <row r="185" spans="2:18" x14ac:dyDescent="0.2">
      <c r="B185" s="114"/>
      <c r="C185" s="114"/>
      <c r="D185" s="114"/>
      <c r="E185" s="114"/>
      <c r="F185" s="114"/>
      <c r="G185" s="114"/>
      <c r="H185" s="114"/>
      <c r="I185" s="114"/>
      <c r="J185" s="114"/>
      <c r="K185" s="114"/>
      <c r="L185" s="114"/>
      <c r="M185" s="114"/>
      <c r="N185" s="114"/>
      <c r="O185" s="114"/>
      <c r="P185" s="114"/>
      <c r="Q185" s="114"/>
      <c r="R185" s="114"/>
    </row>
    <row r="186" spans="2:18" x14ac:dyDescent="0.2">
      <c r="B186" s="114"/>
      <c r="C186" s="114"/>
      <c r="D186" s="114"/>
      <c r="E186" s="114"/>
      <c r="F186" s="114"/>
      <c r="G186" s="114"/>
      <c r="H186" s="114"/>
      <c r="I186" s="114"/>
      <c r="J186" s="114"/>
      <c r="K186" s="114"/>
      <c r="L186" s="114"/>
      <c r="M186" s="114"/>
      <c r="N186" s="114"/>
      <c r="O186" s="114"/>
      <c r="P186" s="114"/>
      <c r="Q186" s="114"/>
      <c r="R186" s="114"/>
    </row>
    <row r="187" spans="2:18" x14ac:dyDescent="0.2">
      <c r="B187" s="114"/>
      <c r="C187" s="114"/>
      <c r="D187" s="114"/>
      <c r="E187" s="114"/>
      <c r="F187" s="114"/>
      <c r="G187" s="114"/>
      <c r="H187" s="114"/>
      <c r="I187" s="114"/>
      <c r="J187" s="114"/>
      <c r="K187" s="114"/>
      <c r="L187" s="114"/>
      <c r="M187" s="114"/>
      <c r="N187" s="114"/>
      <c r="O187" s="114"/>
      <c r="P187" s="114"/>
      <c r="Q187" s="114"/>
      <c r="R187" s="114"/>
    </row>
    <row r="188" spans="2:18" x14ac:dyDescent="0.2">
      <c r="B188" s="114"/>
      <c r="C188" s="114"/>
      <c r="D188" s="114"/>
      <c r="E188" s="114"/>
      <c r="F188" s="114"/>
      <c r="G188" s="114"/>
      <c r="H188" s="114"/>
      <c r="I188" s="114"/>
      <c r="J188" s="114"/>
      <c r="K188" s="114"/>
      <c r="L188" s="114"/>
      <c r="M188" s="114"/>
      <c r="N188" s="114"/>
      <c r="O188" s="114"/>
      <c r="P188" s="114"/>
      <c r="Q188" s="114"/>
      <c r="R188" s="114"/>
    </row>
    <row r="189" spans="2:18" x14ac:dyDescent="0.2">
      <c r="B189" s="114"/>
      <c r="C189" s="114"/>
      <c r="D189" s="114"/>
      <c r="E189" s="114"/>
      <c r="F189" s="114"/>
      <c r="G189" s="114"/>
      <c r="H189" s="114"/>
      <c r="I189" s="114"/>
      <c r="J189" s="114"/>
      <c r="K189" s="114"/>
      <c r="L189" s="114"/>
      <c r="M189" s="114"/>
      <c r="N189" s="114"/>
      <c r="O189" s="114"/>
      <c r="P189" s="114"/>
      <c r="Q189" s="114"/>
      <c r="R189" s="114"/>
    </row>
    <row r="190" spans="2:18" x14ac:dyDescent="0.2">
      <c r="B190" s="114"/>
      <c r="C190" s="114"/>
      <c r="D190" s="114"/>
      <c r="E190" s="114"/>
      <c r="F190" s="114"/>
      <c r="G190" s="114"/>
      <c r="H190" s="114"/>
      <c r="I190" s="114"/>
      <c r="J190" s="114"/>
      <c r="K190" s="114"/>
      <c r="L190" s="114"/>
      <c r="M190" s="114"/>
      <c r="N190" s="114"/>
      <c r="O190" s="114"/>
      <c r="P190" s="114"/>
      <c r="Q190" s="114"/>
      <c r="R190" s="114"/>
    </row>
    <row r="191" spans="2:18" x14ac:dyDescent="0.2">
      <c r="B191" s="114"/>
      <c r="C191" s="114"/>
      <c r="D191" s="114"/>
      <c r="E191" s="114"/>
      <c r="F191" s="114"/>
      <c r="G191" s="114"/>
      <c r="H191" s="114"/>
      <c r="I191" s="114"/>
      <c r="J191" s="114"/>
      <c r="K191" s="114"/>
      <c r="L191" s="114"/>
      <c r="M191" s="114"/>
      <c r="N191" s="114"/>
      <c r="O191" s="114"/>
      <c r="P191" s="114"/>
      <c r="Q191" s="114"/>
      <c r="R191" s="114"/>
    </row>
    <row r="192" spans="2:18" x14ac:dyDescent="0.2">
      <c r="B192" s="114"/>
      <c r="C192" s="114"/>
      <c r="D192" s="114"/>
      <c r="E192" s="114"/>
      <c r="F192" s="114"/>
      <c r="G192" s="114"/>
      <c r="H192" s="114"/>
      <c r="I192" s="114"/>
      <c r="J192" s="114"/>
      <c r="K192" s="114"/>
      <c r="L192" s="114"/>
      <c r="M192" s="114"/>
      <c r="N192" s="114"/>
      <c r="O192" s="114"/>
      <c r="P192" s="114"/>
      <c r="Q192" s="114"/>
      <c r="R192" s="114"/>
    </row>
    <row r="193" spans="2:18" x14ac:dyDescent="0.2">
      <c r="B193" s="114"/>
      <c r="C193" s="114"/>
      <c r="D193" s="114"/>
      <c r="E193" s="114"/>
      <c r="F193" s="114"/>
      <c r="G193" s="114"/>
      <c r="H193" s="114"/>
      <c r="I193" s="114"/>
      <c r="J193" s="114"/>
      <c r="K193" s="114"/>
      <c r="L193" s="114"/>
      <c r="M193" s="114"/>
      <c r="N193" s="114"/>
      <c r="O193" s="114"/>
      <c r="P193" s="114"/>
      <c r="Q193" s="114"/>
      <c r="R193" s="114"/>
    </row>
    <row r="194" spans="2:18" x14ac:dyDescent="0.2">
      <c r="B194" s="114"/>
      <c r="C194" s="114"/>
      <c r="D194" s="114"/>
      <c r="E194" s="114"/>
      <c r="F194" s="114"/>
      <c r="G194" s="114"/>
      <c r="H194" s="114"/>
      <c r="I194" s="114"/>
      <c r="J194" s="114"/>
      <c r="K194" s="114"/>
      <c r="L194" s="114"/>
      <c r="M194" s="114"/>
      <c r="N194" s="114"/>
      <c r="O194" s="114"/>
      <c r="P194" s="114"/>
      <c r="Q194" s="114"/>
      <c r="R194" s="114"/>
    </row>
    <row r="195" spans="2:18" x14ac:dyDescent="0.2">
      <c r="B195" s="114"/>
      <c r="C195" s="114"/>
      <c r="D195" s="114"/>
      <c r="E195" s="114"/>
      <c r="F195" s="114"/>
      <c r="G195" s="114"/>
      <c r="H195" s="114"/>
      <c r="I195" s="114"/>
      <c r="J195" s="114"/>
      <c r="K195" s="114"/>
      <c r="L195" s="114"/>
      <c r="M195" s="114"/>
      <c r="N195" s="114"/>
      <c r="O195" s="114"/>
      <c r="P195" s="114"/>
      <c r="Q195" s="114"/>
      <c r="R195" s="114"/>
    </row>
    <row r="196" spans="2:18" x14ac:dyDescent="0.2">
      <c r="B196" s="114"/>
      <c r="C196" s="114"/>
      <c r="D196" s="114"/>
      <c r="E196" s="114"/>
      <c r="F196" s="114"/>
      <c r="G196" s="114"/>
      <c r="H196" s="114"/>
      <c r="I196" s="114"/>
      <c r="J196" s="114"/>
      <c r="K196" s="114"/>
      <c r="L196" s="114"/>
      <c r="M196" s="114"/>
      <c r="N196" s="114"/>
      <c r="O196" s="114"/>
      <c r="P196" s="114"/>
      <c r="Q196" s="114"/>
      <c r="R196" s="114"/>
    </row>
    <row r="197" spans="2:18" x14ac:dyDescent="0.2">
      <c r="B197" s="114"/>
      <c r="C197" s="114"/>
      <c r="D197" s="114"/>
      <c r="E197" s="114"/>
      <c r="F197" s="114"/>
      <c r="G197" s="114"/>
      <c r="H197" s="114"/>
      <c r="I197" s="114"/>
      <c r="J197" s="114"/>
      <c r="K197" s="114"/>
      <c r="L197" s="114"/>
      <c r="M197" s="114"/>
      <c r="N197" s="114"/>
      <c r="O197" s="114"/>
      <c r="P197" s="114"/>
      <c r="Q197" s="114"/>
      <c r="R197" s="114"/>
    </row>
    <row r="198" spans="2:18" x14ac:dyDescent="0.2">
      <c r="B198" s="114"/>
      <c r="C198" s="114"/>
      <c r="D198" s="114"/>
      <c r="E198" s="114"/>
      <c r="F198" s="114"/>
      <c r="G198" s="114"/>
      <c r="H198" s="114"/>
      <c r="I198" s="114"/>
      <c r="J198" s="114"/>
      <c r="K198" s="114"/>
      <c r="L198" s="114"/>
      <c r="M198" s="114"/>
      <c r="N198" s="114"/>
      <c r="O198" s="114"/>
      <c r="P198" s="114"/>
      <c r="Q198" s="114"/>
      <c r="R198" s="114"/>
    </row>
    <row r="199" spans="2:18" x14ac:dyDescent="0.2">
      <c r="B199" s="114"/>
      <c r="C199" s="114"/>
      <c r="D199" s="114"/>
      <c r="E199" s="114"/>
      <c r="F199" s="114"/>
      <c r="G199" s="114"/>
      <c r="H199" s="114"/>
      <c r="I199" s="114"/>
      <c r="J199" s="114"/>
      <c r="K199" s="114"/>
      <c r="L199" s="114"/>
      <c r="M199" s="114"/>
      <c r="N199" s="114"/>
      <c r="O199" s="114"/>
      <c r="P199" s="114"/>
      <c r="Q199" s="114"/>
      <c r="R199" s="114"/>
    </row>
    <row r="200" spans="2:18" x14ac:dyDescent="0.2">
      <c r="B200" s="114"/>
      <c r="C200" s="114"/>
      <c r="D200" s="114"/>
      <c r="E200" s="114"/>
      <c r="F200" s="114"/>
      <c r="G200" s="114"/>
      <c r="H200" s="114"/>
      <c r="I200" s="114"/>
      <c r="J200" s="114"/>
      <c r="K200" s="114"/>
      <c r="L200" s="114"/>
      <c r="M200" s="114"/>
      <c r="N200" s="114"/>
      <c r="O200" s="114"/>
      <c r="P200" s="114"/>
      <c r="Q200" s="114"/>
      <c r="R200" s="114"/>
    </row>
    <row r="201" spans="2:18" x14ac:dyDescent="0.2">
      <c r="B201" s="114"/>
      <c r="C201" s="114"/>
      <c r="D201" s="114"/>
      <c r="E201" s="114"/>
      <c r="F201" s="114"/>
      <c r="G201" s="114"/>
      <c r="H201" s="114"/>
      <c r="I201" s="114"/>
      <c r="J201" s="114"/>
      <c r="K201" s="114"/>
      <c r="L201" s="114"/>
      <c r="M201" s="114"/>
      <c r="N201" s="114"/>
      <c r="O201" s="114"/>
      <c r="P201" s="114"/>
      <c r="Q201" s="114"/>
      <c r="R201" s="114"/>
    </row>
    <row r="202" spans="2:18" x14ac:dyDescent="0.2">
      <c r="B202" s="114"/>
      <c r="C202" s="114"/>
      <c r="D202" s="114"/>
      <c r="E202" s="114"/>
      <c r="F202" s="114"/>
      <c r="G202" s="114"/>
      <c r="H202" s="114"/>
      <c r="I202" s="114"/>
      <c r="J202" s="114"/>
      <c r="K202" s="114"/>
      <c r="L202" s="114"/>
      <c r="M202" s="114"/>
      <c r="N202" s="114"/>
      <c r="O202" s="114"/>
      <c r="P202" s="114"/>
      <c r="Q202" s="114"/>
      <c r="R202" s="114"/>
    </row>
    <row r="203" spans="2:18" x14ac:dyDescent="0.2">
      <c r="B203" s="114"/>
      <c r="C203" s="114"/>
      <c r="D203" s="114"/>
      <c r="E203" s="114"/>
      <c r="F203" s="114"/>
      <c r="G203" s="114"/>
      <c r="H203" s="114"/>
      <c r="I203" s="114"/>
      <c r="J203" s="114"/>
      <c r="K203" s="114"/>
      <c r="L203" s="114"/>
      <c r="M203" s="114"/>
      <c r="N203" s="114"/>
      <c r="O203" s="114"/>
      <c r="P203" s="114"/>
      <c r="Q203" s="114"/>
      <c r="R203" s="114"/>
    </row>
    <row r="204" spans="2:18" x14ac:dyDescent="0.2">
      <c r="B204" s="114"/>
      <c r="C204" s="114"/>
      <c r="D204" s="114"/>
      <c r="E204" s="114"/>
      <c r="F204" s="114"/>
      <c r="G204" s="114"/>
      <c r="H204" s="114"/>
      <c r="I204" s="114"/>
      <c r="J204" s="114"/>
      <c r="K204" s="114"/>
      <c r="L204" s="114"/>
      <c r="M204" s="114"/>
      <c r="N204" s="114"/>
      <c r="O204" s="114"/>
      <c r="P204" s="114"/>
      <c r="Q204" s="114"/>
      <c r="R204" s="114"/>
    </row>
    <row r="205" spans="2:18" x14ac:dyDescent="0.2">
      <c r="B205" s="114"/>
      <c r="C205" s="114"/>
      <c r="D205" s="114"/>
      <c r="E205" s="114"/>
      <c r="F205" s="114"/>
      <c r="G205" s="114"/>
      <c r="H205" s="114"/>
      <c r="I205" s="114"/>
      <c r="J205" s="114"/>
      <c r="K205" s="114"/>
      <c r="L205" s="114"/>
      <c r="M205" s="114"/>
      <c r="N205" s="114"/>
      <c r="O205" s="114"/>
      <c r="P205" s="114"/>
      <c r="Q205" s="114"/>
      <c r="R205" s="114"/>
    </row>
    <row r="206" spans="2:18" x14ac:dyDescent="0.2">
      <c r="B206" s="114"/>
      <c r="C206" s="114"/>
      <c r="D206" s="114"/>
      <c r="E206" s="114"/>
      <c r="F206" s="114"/>
      <c r="G206" s="114"/>
      <c r="H206" s="114"/>
      <c r="I206" s="114"/>
      <c r="J206" s="114"/>
      <c r="K206" s="114"/>
      <c r="L206" s="114"/>
      <c r="M206" s="114"/>
      <c r="N206" s="114"/>
      <c r="O206" s="114"/>
      <c r="P206" s="114"/>
      <c r="Q206" s="114"/>
      <c r="R206" s="114"/>
    </row>
    <row r="207" spans="2:18" x14ac:dyDescent="0.2">
      <c r="B207" s="114"/>
      <c r="C207" s="114"/>
      <c r="D207" s="114"/>
      <c r="E207" s="114"/>
      <c r="F207" s="114"/>
      <c r="G207" s="114"/>
      <c r="H207" s="114"/>
      <c r="I207" s="114"/>
      <c r="J207" s="114"/>
      <c r="K207" s="114"/>
      <c r="L207" s="114"/>
      <c r="M207" s="114"/>
      <c r="N207" s="114"/>
      <c r="O207" s="114"/>
      <c r="P207" s="114"/>
      <c r="Q207" s="114"/>
      <c r="R207" s="114"/>
    </row>
    <row r="208" spans="2:18" x14ac:dyDescent="0.2">
      <c r="B208" s="114"/>
      <c r="C208" s="114"/>
      <c r="D208" s="114"/>
      <c r="E208" s="114"/>
      <c r="F208" s="114"/>
      <c r="G208" s="114"/>
      <c r="H208" s="114"/>
      <c r="I208" s="114"/>
      <c r="J208" s="114"/>
      <c r="K208" s="114"/>
      <c r="L208" s="114"/>
      <c r="M208" s="114"/>
      <c r="N208" s="114"/>
      <c r="O208" s="114"/>
      <c r="P208" s="114"/>
      <c r="Q208" s="114"/>
      <c r="R208" s="114"/>
    </row>
    <row r="209" spans="2:18" x14ac:dyDescent="0.2">
      <c r="B209" s="114"/>
      <c r="C209" s="114"/>
      <c r="D209" s="114"/>
      <c r="E209" s="114"/>
      <c r="F209" s="114"/>
      <c r="G209" s="114"/>
      <c r="H209" s="114"/>
      <c r="I209" s="114"/>
      <c r="J209" s="114"/>
      <c r="K209" s="114"/>
      <c r="L209" s="114"/>
      <c r="M209" s="114"/>
      <c r="N209" s="114"/>
      <c r="O209" s="114"/>
      <c r="P209" s="114"/>
      <c r="Q209" s="114"/>
      <c r="R209" s="114"/>
    </row>
    <row r="210" spans="2:18" x14ac:dyDescent="0.2">
      <c r="B210" s="114"/>
      <c r="C210" s="114"/>
      <c r="D210" s="114"/>
      <c r="E210" s="114"/>
      <c r="F210" s="114"/>
      <c r="G210" s="114"/>
      <c r="H210" s="114"/>
      <c r="I210" s="114"/>
      <c r="J210" s="114"/>
      <c r="K210" s="114"/>
      <c r="L210" s="114"/>
      <c r="M210" s="114"/>
      <c r="N210" s="114"/>
      <c r="O210" s="114"/>
      <c r="P210" s="114"/>
      <c r="Q210" s="114"/>
      <c r="R210" s="114"/>
    </row>
    <row r="211" spans="2:18" x14ac:dyDescent="0.2">
      <c r="B211" s="114"/>
      <c r="C211" s="114"/>
      <c r="D211" s="114"/>
      <c r="E211" s="114"/>
      <c r="F211" s="114"/>
      <c r="G211" s="114"/>
      <c r="H211" s="114"/>
      <c r="I211" s="114"/>
      <c r="J211" s="114"/>
      <c r="K211" s="114"/>
      <c r="L211" s="114"/>
      <c r="M211" s="114"/>
      <c r="N211" s="114"/>
      <c r="O211" s="114"/>
      <c r="P211" s="114"/>
      <c r="Q211" s="114"/>
      <c r="R211" s="114"/>
    </row>
    <row r="212" spans="2:18" x14ac:dyDescent="0.2">
      <c r="B212" s="114"/>
      <c r="C212" s="114"/>
      <c r="D212" s="114"/>
      <c r="E212" s="114"/>
      <c r="F212" s="114"/>
      <c r="G212" s="114"/>
      <c r="H212" s="114"/>
      <c r="I212" s="114"/>
      <c r="J212" s="114"/>
      <c r="K212" s="114"/>
      <c r="L212" s="114"/>
      <c r="M212" s="114"/>
      <c r="N212" s="114"/>
      <c r="O212" s="114"/>
      <c r="P212" s="114"/>
      <c r="Q212" s="114"/>
      <c r="R212" s="114"/>
    </row>
    <row r="213" spans="2:18" x14ac:dyDescent="0.2">
      <c r="B213" s="114"/>
      <c r="C213" s="114"/>
      <c r="D213" s="114"/>
      <c r="E213" s="114"/>
      <c r="F213" s="114"/>
      <c r="G213" s="114"/>
      <c r="H213" s="114"/>
      <c r="I213" s="114"/>
      <c r="J213" s="114"/>
      <c r="K213" s="114"/>
      <c r="L213" s="114"/>
      <c r="M213" s="114"/>
      <c r="N213" s="114"/>
      <c r="O213" s="114"/>
      <c r="P213" s="114"/>
      <c r="Q213" s="114"/>
      <c r="R213" s="114"/>
    </row>
    <row r="214" spans="2:18" x14ac:dyDescent="0.2">
      <c r="B214" s="114"/>
      <c r="C214" s="114"/>
      <c r="D214" s="114"/>
      <c r="E214" s="114"/>
      <c r="F214" s="114"/>
      <c r="G214" s="114"/>
      <c r="H214" s="114"/>
      <c r="I214" s="114"/>
      <c r="J214" s="114"/>
      <c r="K214" s="114"/>
      <c r="L214" s="114"/>
      <c r="M214" s="114"/>
      <c r="N214" s="114"/>
      <c r="O214" s="114"/>
      <c r="P214" s="114"/>
      <c r="Q214" s="114"/>
      <c r="R214" s="114"/>
    </row>
    <row r="215" spans="2:18" x14ac:dyDescent="0.2">
      <c r="B215" s="114"/>
      <c r="C215" s="114"/>
      <c r="D215" s="114"/>
      <c r="E215" s="114"/>
      <c r="F215" s="114"/>
      <c r="G215" s="114"/>
      <c r="H215" s="114"/>
      <c r="I215" s="114"/>
      <c r="J215" s="114"/>
      <c r="K215" s="114"/>
      <c r="L215" s="114"/>
      <c r="M215" s="114"/>
      <c r="N215" s="114"/>
      <c r="O215" s="114"/>
      <c r="P215" s="114"/>
      <c r="Q215" s="114"/>
      <c r="R215" s="114"/>
    </row>
    <row r="216" spans="2:18" x14ac:dyDescent="0.2">
      <c r="B216" s="114"/>
      <c r="C216" s="114"/>
      <c r="D216" s="114"/>
      <c r="E216" s="114"/>
      <c r="F216" s="114"/>
      <c r="G216" s="114"/>
      <c r="H216" s="114"/>
      <c r="I216" s="114"/>
      <c r="J216" s="114"/>
      <c r="K216" s="114"/>
      <c r="L216" s="114"/>
      <c r="M216" s="114"/>
      <c r="N216" s="114"/>
      <c r="O216" s="114"/>
      <c r="P216" s="114"/>
      <c r="Q216" s="114"/>
      <c r="R216" s="114"/>
    </row>
    <row r="217" spans="2:18" x14ac:dyDescent="0.2">
      <c r="B217" s="114"/>
      <c r="C217" s="114"/>
      <c r="D217" s="114"/>
      <c r="E217" s="114"/>
      <c r="F217" s="114"/>
      <c r="G217" s="114"/>
      <c r="H217" s="114"/>
      <c r="I217" s="114"/>
      <c r="J217" s="114"/>
      <c r="K217" s="114"/>
      <c r="L217" s="114"/>
      <c r="M217" s="114"/>
      <c r="N217" s="114"/>
      <c r="O217" s="114"/>
      <c r="P217" s="114"/>
      <c r="Q217" s="114"/>
      <c r="R217" s="114"/>
    </row>
    <row r="218" spans="2:18" x14ac:dyDescent="0.2">
      <c r="B218" s="114"/>
      <c r="C218" s="114"/>
      <c r="D218" s="114"/>
      <c r="E218" s="114"/>
      <c r="F218" s="114"/>
      <c r="G218" s="114"/>
      <c r="H218" s="114"/>
      <c r="I218" s="114"/>
      <c r="J218" s="114"/>
      <c r="K218" s="114"/>
      <c r="L218" s="114"/>
      <c r="M218" s="114"/>
      <c r="N218" s="114"/>
      <c r="O218" s="114"/>
      <c r="P218" s="114"/>
      <c r="Q218" s="114"/>
      <c r="R218" s="114"/>
    </row>
    <row r="219" spans="2:18" x14ac:dyDescent="0.2">
      <c r="B219" s="114"/>
      <c r="C219" s="114"/>
      <c r="D219" s="114"/>
      <c r="E219" s="114"/>
      <c r="F219" s="114"/>
      <c r="G219" s="114"/>
      <c r="H219" s="114"/>
      <c r="I219" s="114"/>
      <c r="J219" s="114"/>
      <c r="K219" s="114"/>
      <c r="L219" s="114"/>
      <c r="M219" s="114"/>
      <c r="N219" s="114"/>
      <c r="O219" s="114"/>
      <c r="P219" s="114"/>
      <c r="Q219" s="114"/>
      <c r="R219" s="114"/>
    </row>
    <row r="220" spans="2:18" x14ac:dyDescent="0.2">
      <c r="B220" s="114"/>
      <c r="C220" s="114"/>
      <c r="D220" s="114"/>
      <c r="E220" s="114"/>
      <c r="F220" s="114"/>
      <c r="G220" s="114"/>
      <c r="H220" s="114"/>
      <c r="I220" s="114"/>
      <c r="J220" s="114"/>
      <c r="K220" s="114"/>
      <c r="L220" s="114"/>
      <c r="M220" s="114"/>
      <c r="N220" s="114"/>
      <c r="O220" s="114"/>
      <c r="P220" s="114"/>
      <c r="Q220" s="114"/>
      <c r="R220" s="114"/>
    </row>
    <row r="221" spans="2:18" x14ac:dyDescent="0.2">
      <c r="B221" s="114"/>
      <c r="C221" s="114"/>
      <c r="D221" s="114"/>
      <c r="E221" s="114"/>
      <c r="F221" s="114"/>
      <c r="G221" s="114"/>
      <c r="H221" s="114"/>
      <c r="I221" s="114"/>
      <c r="J221" s="114"/>
      <c r="K221" s="114"/>
      <c r="L221" s="114"/>
      <c r="M221" s="114"/>
      <c r="N221" s="114"/>
      <c r="O221" s="114"/>
      <c r="P221" s="114"/>
      <c r="Q221" s="114"/>
      <c r="R221" s="114"/>
    </row>
    <row r="222" spans="2:18" x14ac:dyDescent="0.2">
      <c r="B222" s="114"/>
      <c r="C222" s="114"/>
      <c r="D222" s="114"/>
      <c r="E222" s="114"/>
      <c r="F222" s="114"/>
      <c r="G222" s="114"/>
      <c r="H222" s="114"/>
      <c r="I222" s="114"/>
      <c r="J222" s="114"/>
      <c r="K222" s="114"/>
      <c r="L222" s="114"/>
      <c r="M222" s="114"/>
      <c r="N222" s="114"/>
      <c r="O222" s="114"/>
      <c r="P222" s="114"/>
      <c r="Q222" s="114"/>
      <c r="R222" s="114"/>
    </row>
    <row r="223" spans="2:18" x14ac:dyDescent="0.2">
      <c r="B223" s="114"/>
      <c r="C223" s="114"/>
      <c r="D223" s="114"/>
      <c r="E223" s="114"/>
      <c r="F223" s="114"/>
      <c r="G223" s="114"/>
      <c r="H223" s="114"/>
      <c r="I223" s="114"/>
      <c r="J223" s="114"/>
      <c r="K223" s="114"/>
      <c r="L223" s="114"/>
      <c r="M223" s="114"/>
      <c r="N223" s="114"/>
      <c r="O223" s="114"/>
      <c r="P223" s="114"/>
      <c r="Q223" s="114"/>
      <c r="R223" s="114"/>
    </row>
    <row r="224" spans="2:18" x14ac:dyDescent="0.2">
      <c r="B224" s="114"/>
      <c r="C224" s="114"/>
      <c r="D224" s="114"/>
      <c r="E224" s="114"/>
      <c r="F224" s="114"/>
      <c r="G224" s="114"/>
      <c r="H224" s="114"/>
      <c r="I224" s="114"/>
      <c r="J224" s="114"/>
      <c r="K224" s="114"/>
      <c r="L224" s="114"/>
      <c r="M224" s="114"/>
      <c r="N224" s="114"/>
      <c r="O224" s="114"/>
      <c r="P224" s="114"/>
      <c r="Q224" s="114"/>
      <c r="R224" s="114"/>
    </row>
    <row r="225" spans="2:18" x14ac:dyDescent="0.2">
      <c r="B225" s="114"/>
      <c r="C225" s="114"/>
      <c r="D225" s="114"/>
      <c r="E225" s="114"/>
      <c r="F225" s="114"/>
      <c r="G225" s="114"/>
      <c r="H225" s="114"/>
      <c r="I225" s="114"/>
      <c r="J225" s="114"/>
      <c r="K225" s="114"/>
      <c r="L225" s="114"/>
      <c r="M225" s="114"/>
      <c r="N225" s="114"/>
      <c r="O225" s="114"/>
      <c r="P225" s="114"/>
      <c r="Q225" s="114"/>
      <c r="R225" s="114"/>
    </row>
    <row r="226" spans="2:18" x14ac:dyDescent="0.2">
      <c r="B226" s="114"/>
      <c r="C226" s="114"/>
      <c r="D226" s="114"/>
      <c r="E226" s="114"/>
      <c r="F226" s="114"/>
      <c r="G226" s="114"/>
      <c r="H226" s="114"/>
      <c r="I226" s="114"/>
      <c r="J226" s="114"/>
      <c r="K226" s="114"/>
      <c r="L226" s="114"/>
      <c r="M226" s="114"/>
      <c r="N226" s="114"/>
      <c r="O226" s="114"/>
      <c r="P226" s="114"/>
      <c r="Q226" s="114"/>
      <c r="R226" s="114"/>
    </row>
    <row r="227" spans="2:18" x14ac:dyDescent="0.2">
      <c r="B227" s="114"/>
      <c r="C227" s="114"/>
      <c r="D227" s="114"/>
      <c r="E227" s="114"/>
      <c r="F227" s="114"/>
      <c r="G227" s="114"/>
      <c r="H227" s="114"/>
      <c r="I227" s="114"/>
      <c r="J227" s="114"/>
      <c r="K227" s="114"/>
      <c r="L227" s="114"/>
      <c r="M227" s="114"/>
      <c r="N227" s="114"/>
      <c r="O227" s="114"/>
      <c r="P227" s="114"/>
      <c r="Q227" s="114"/>
      <c r="R227" s="114"/>
    </row>
    <row r="228" spans="2:18" x14ac:dyDescent="0.2">
      <c r="B228" s="114"/>
      <c r="C228" s="114"/>
      <c r="D228" s="114"/>
      <c r="E228" s="114"/>
      <c r="F228" s="114"/>
      <c r="G228" s="114"/>
      <c r="H228" s="114"/>
      <c r="I228" s="114"/>
      <c r="J228" s="114"/>
      <c r="K228" s="114"/>
      <c r="L228" s="114"/>
      <c r="M228" s="114"/>
      <c r="N228" s="114"/>
      <c r="O228" s="114"/>
      <c r="P228" s="114"/>
      <c r="Q228" s="114"/>
      <c r="R228" s="114"/>
    </row>
    <row r="229" spans="2:18" x14ac:dyDescent="0.2">
      <c r="B229" s="114"/>
      <c r="C229" s="114"/>
      <c r="D229" s="114"/>
      <c r="E229" s="114"/>
      <c r="F229" s="114"/>
      <c r="G229" s="114"/>
      <c r="H229" s="114"/>
      <c r="I229" s="114"/>
      <c r="J229" s="114"/>
      <c r="K229" s="114"/>
      <c r="L229" s="114"/>
      <c r="M229" s="114"/>
      <c r="N229" s="114"/>
      <c r="O229" s="114"/>
      <c r="P229" s="114"/>
      <c r="Q229" s="114"/>
      <c r="R229" s="114"/>
    </row>
    <row r="230" spans="2:18" x14ac:dyDescent="0.2">
      <c r="B230" s="114"/>
      <c r="C230" s="114"/>
      <c r="D230" s="114"/>
      <c r="E230" s="114"/>
      <c r="F230" s="114"/>
      <c r="G230" s="114"/>
      <c r="H230" s="114"/>
      <c r="I230" s="114"/>
      <c r="J230" s="114"/>
      <c r="K230" s="114"/>
      <c r="L230" s="114"/>
      <c r="M230" s="114"/>
      <c r="N230" s="114"/>
      <c r="O230" s="114"/>
      <c r="P230" s="114"/>
      <c r="Q230" s="114"/>
      <c r="R230" s="114"/>
    </row>
    <row r="231" spans="2:18" x14ac:dyDescent="0.2">
      <c r="B231" s="114"/>
      <c r="C231" s="114"/>
      <c r="D231" s="114"/>
      <c r="E231" s="114"/>
      <c r="F231" s="114"/>
      <c r="G231" s="114"/>
      <c r="H231" s="114"/>
      <c r="I231" s="114"/>
      <c r="J231" s="114"/>
      <c r="K231" s="114"/>
      <c r="L231" s="114"/>
      <c r="M231" s="114"/>
      <c r="N231" s="114"/>
      <c r="O231" s="114"/>
      <c r="P231" s="114"/>
      <c r="Q231" s="114"/>
      <c r="R231" s="114"/>
    </row>
    <row r="232" spans="2:18" x14ac:dyDescent="0.2">
      <c r="B232" s="114"/>
      <c r="C232" s="114"/>
      <c r="D232" s="114"/>
      <c r="E232" s="114"/>
      <c r="F232" s="114"/>
      <c r="G232" s="114"/>
      <c r="H232" s="114"/>
      <c r="I232" s="114"/>
      <c r="J232" s="114"/>
      <c r="K232" s="114"/>
      <c r="L232" s="114"/>
      <c r="M232" s="114"/>
      <c r="N232" s="114"/>
      <c r="O232" s="114"/>
      <c r="P232" s="114"/>
      <c r="Q232" s="114"/>
      <c r="R232" s="114"/>
    </row>
    <row r="233" spans="2:18" x14ac:dyDescent="0.2">
      <c r="B233" s="114"/>
      <c r="C233" s="114"/>
      <c r="D233" s="114"/>
      <c r="E233" s="114"/>
      <c r="F233" s="114"/>
      <c r="G233" s="114"/>
      <c r="H233" s="114"/>
      <c r="I233" s="114"/>
      <c r="J233" s="114"/>
      <c r="K233" s="114"/>
      <c r="L233" s="114"/>
      <c r="M233" s="114"/>
      <c r="N233" s="114"/>
      <c r="O233" s="114"/>
      <c r="P233" s="114"/>
      <c r="Q233" s="114"/>
      <c r="R233" s="114"/>
    </row>
    <row r="234" spans="2:18" x14ac:dyDescent="0.2">
      <c r="B234" s="114"/>
      <c r="C234" s="114"/>
      <c r="D234" s="114"/>
      <c r="E234" s="114"/>
      <c r="F234" s="114"/>
      <c r="G234" s="114"/>
      <c r="H234" s="114"/>
      <c r="I234" s="114"/>
      <c r="J234" s="114"/>
      <c r="K234" s="114"/>
      <c r="L234" s="114"/>
      <c r="M234" s="114"/>
      <c r="N234" s="114"/>
      <c r="O234" s="114"/>
      <c r="P234" s="114"/>
      <c r="Q234" s="114"/>
      <c r="R234" s="114"/>
    </row>
    <row r="235" spans="2:18" x14ac:dyDescent="0.2">
      <c r="B235" s="114"/>
      <c r="C235" s="114"/>
      <c r="D235" s="114"/>
      <c r="E235" s="114"/>
      <c r="F235" s="114"/>
      <c r="G235" s="114"/>
      <c r="H235" s="114"/>
      <c r="I235" s="114"/>
      <c r="J235" s="114"/>
      <c r="K235" s="114"/>
      <c r="L235" s="114"/>
      <c r="M235" s="114"/>
      <c r="N235" s="114"/>
      <c r="O235" s="114"/>
      <c r="P235" s="114"/>
      <c r="Q235" s="114"/>
      <c r="R235" s="114"/>
    </row>
    <row r="236" spans="2:18" x14ac:dyDescent="0.2">
      <c r="B236" s="114"/>
      <c r="C236" s="114"/>
      <c r="D236" s="114"/>
      <c r="E236" s="114"/>
      <c r="F236" s="114"/>
      <c r="G236" s="114"/>
      <c r="H236" s="114"/>
      <c r="I236" s="114"/>
      <c r="J236" s="114"/>
      <c r="K236" s="114"/>
      <c r="L236" s="114"/>
      <c r="M236" s="114"/>
      <c r="N236" s="114"/>
      <c r="O236" s="114"/>
      <c r="P236" s="114"/>
      <c r="Q236" s="114"/>
      <c r="R236" s="114"/>
    </row>
    <row r="237" spans="2:18" x14ac:dyDescent="0.2">
      <c r="B237" s="114"/>
      <c r="C237" s="114"/>
      <c r="D237" s="114"/>
      <c r="E237" s="114"/>
      <c r="F237" s="114"/>
      <c r="G237" s="114"/>
      <c r="H237" s="114"/>
      <c r="I237" s="114"/>
      <c r="J237" s="114"/>
      <c r="K237" s="114"/>
      <c r="L237" s="114"/>
      <c r="M237" s="114"/>
      <c r="N237" s="114"/>
      <c r="O237" s="114"/>
      <c r="P237" s="114"/>
      <c r="Q237" s="114"/>
      <c r="R237" s="114"/>
    </row>
    <row r="238" spans="2:18" x14ac:dyDescent="0.2">
      <c r="B238" s="114"/>
      <c r="C238" s="114"/>
      <c r="D238" s="114"/>
      <c r="E238" s="114"/>
      <c r="F238" s="114"/>
      <c r="G238" s="114"/>
      <c r="H238" s="114"/>
      <c r="I238" s="114"/>
      <c r="J238" s="114"/>
      <c r="K238" s="114"/>
      <c r="L238" s="114"/>
      <c r="M238" s="114"/>
      <c r="N238" s="114"/>
      <c r="O238" s="114"/>
      <c r="P238" s="114"/>
      <c r="Q238" s="114"/>
      <c r="R238" s="114"/>
    </row>
    <row r="239" spans="2:18" x14ac:dyDescent="0.2">
      <c r="B239" s="114"/>
      <c r="C239" s="114"/>
      <c r="D239" s="114"/>
      <c r="E239" s="114"/>
      <c r="F239" s="114"/>
      <c r="G239" s="114"/>
      <c r="H239" s="114"/>
      <c r="I239" s="114"/>
      <c r="J239" s="114"/>
      <c r="K239" s="114"/>
      <c r="L239" s="114"/>
      <c r="M239" s="114"/>
      <c r="N239" s="114"/>
      <c r="O239" s="114"/>
      <c r="P239" s="114"/>
      <c r="Q239" s="114"/>
      <c r="R239" s="114"/>
    </row>
    <row r="240" spans="2:18" x14ac:dyDescent="0.2">
      <c r="B240" s="114"/>
      <c r="C240" s="114"/>
      <c r="D240" s="114"/>
      <c r="E240" s="114"/>
      <c r="F240" s="114"/>
      <c r="G240" s="114"/>
      <c r="H240" s="114"/>
      <c r="I240" s="114"/>
      <c r="J240" s="114"/>
      <c r="K240" s="114"/>
      <c r="L240" s="114"/>
      <c r="M240" s="114"/>
      <c r="N240" s="114"/>
      <c r="O240" s="114"/>
      <c r="P240" s="114"/>
      <c r="Q240" s="114"/>
      <c r="R240" s="114"/>
    </row>
    <row r="241" spans="2:18" x14ac:dyDescent="0.2">
      <c r="B241" s="114"/>
      <c r="C241" s="114"/>
      <c r="D241" s="114"/>
      <c r="E241" s="114"/>
      <c r="F241" s="114"/>
      <c r="G241" s="114"/>
      <c r="H241" s="114"/>
      <c r="I241" s="114"/>
      <c r="J241" s="114"/>
      <c r="K241" s="114"/>
      <c r="L241" s="114"/>
      <c r="M241" s="114"/>
      <c r="N241" s="114"/>
      <c r="O241" s="114"/>
      <c r="P241" s="114"/>
      <c r="Q241" s="114"/>
      <c r="R241" s="114"/>
    </row>
    <row r="242" spans="2:18" x14ac:dyDescent="0.2">
      <c r="B242" s="114"/>
      <c r="C242" s="114"/>
      <c r="D242" s="114"/>
      <c r="E242" s="114"/>
      <c r="F242" s="114"/>
      <c r="G242" s="114"/>
      <c r="H242" s="114"/>
      <c r="I242" s="114"/>
      <c r="J242" s="114"/>
      <c r="K242" s="114"/>
      <c r="L242" s="114"/>
      <c r="M242" s="114"/>
      <c r="N242" s="114"/>
      <c r="O242" s="114"/>
      <c r="P242" s="114"/>
      <c r="Q242" s="114"/>
      <c r="R242" s="114"/>
    </row>
    <row r="243" spans="2:18" x14ac:dyDescent="0.2">
      <c r="B243" s="114"/>
      <c r="C243" s="114"/>
      <c r="D243" s="114"/>
      <c r="E243" s="114"/>
      <c r="F243" s="114"/>
      <c r="G243" s="114"/>
      <c r="H243" s="114"/>
      <c r="I243" s="114"/>
      <c r="J243" s="114"/>
      <c r="K243" s="114"/>
      <c r="L243" s="114"/>
      <c r="M243" s="114"/>
      <c r="N243" s="114"/>
      <c r="O243" s="114"/>
      <c r="P243" s="114"/>
      <c r="Q243" s="114"/>
      <c r="R243" s="114"/>
    </row>
    <row r="244" spans="2:18" x14ac:dyDescent="0.2">
      <c r="B244" s="114"/>
      <c r="C244" s="114"/>
      <c r="D244" s="114"/>
      <c r="E244" s="114"/>
      <c r="F244" s="114"/>
      <c r="G244" s="114"/>
      <c r="H244" s="114"/>
      <c r="I244" s="114"/>
      <c r="J244" s="114"/>
      <c r="K244" s="114"/>
      <c r="L244" s="114"/>
      <c r="M244" s="114"/>
      <c r="N244" s="114"/>
      <c r="O244" s="114"/>
      <c r="P244" s="114"/>
      <c r="Q244" s="114"/>
      <c r="R244" s="114"/>
    </row>
    <row r="245" spans="2:18" x14ac:dyDescent="0.2">
      <c r="B245" s="114"/>
      <c r="C245" s="114"/>
      <c r="D245" s="114"/>
      <c r="E245" s="114"/>
      <c r="F245" s="114"/>
      <c r="G245" s="114"/>
      <c r="H245" s="114"/>
      <c r="I245" s="114"/>
      <c r="J245" s="114"/>
      <c r="K245" s="114"/>
      <c r="L245" s="114"/>
      <c r="M245" s="114"/>
      <c r="N245" s="114"/>
      <c r="O245" s="114"/>
      <c r="P245" s="114"/>
      <c r="Q245" s="114"/>
      <c r="R245" s="114"/>
    </row>
    <row r="246" spans="2:18" x14ac:dyDescent="0.2">
      <c r="B246" s="114"/>
      <c r="C246" s="114"/>
      <c r="D246" s="114"/>
      <c r="E246" s="114"/>
      <c r="F246" s="114"/>
      <c r="G246" s="114"/>
      <c r="H246" s="114"/>
      <c r="I246" s="114"/>
      <c r="J246" s="114"/>
      <c r="K246" s="114"/>
      <c r="L246" s="114"/>
      <c r="M246" s="114"/>
      <c r="N246" s="114"/>
      <c r="O246" s="114"/>
      <c r="P246" s="114"/>
      <c r="Q246" s="114"/>
      <c r="R246" s="114"/>
    </row>
    <row r="247" spans="2:18" x14ac:dyDescent="0.2">
      <c r="B247" s="114"/>
      <c r="C247" s="114"/>
      <c r="D247" s="114"/>
      <c r="E247" s="114"/>
      <c r="F247" s="114"/>
      <c r="G247" s="114"/>
      <c r="H247" s="114"/>
      <c r="I247" s="114"/>
      <c r="J247" s="114"/>
      <c r="K247" s="114"/>
      <c r="L247" s="114"/>
      <c r="M247" s="114"/>
      <c r="N247" s="114"/>
      <c r="O247" s="114"/>
      <c r="P247" s="114"/>
      <c r="Q247" s="114"/>
      <c r="R247" s="114"/>
    </row>
    <row r="248" spans="2:18" x14ac:dyDescent="0.2">
      <c r="B248" s="114"/>
      <c r="C248" s="114"/>
      <c r="D248" s="114"/>
      <c r="E248" s="114"/>
      <c r="F248" s="114"/>
      <c r="G248" s="114"/>
      <c r="H248" s="114"/>
      <c r="I248" s="114"/>
      <c r="J248" s="114"/>
      <c r="K248" s="114"/>
      <c r="L248" s="114"/>
      <c r="M248" s="114"/>
      <c r="N248" s="114"/>
      <c r="O248" s="114"/>
      <c r="P248" s="114"/>
      <c r="Q248" s="114"/>
      <c r="R248" s="114"/>
    </row>
    <row r="249" spans="2:18" x14ac:dyDescent="0.2">
      <c r="B249" s="114"/>
      <c r="C249" s="114"/>
      <c r="D249" s="114"/>
      <c r="E249" s="114"/>
      <c r="F249" s="114"/>
      <c r="G249" s="114"/>
      <c r="H249" s="114"/>
      <c r="I249" s="114"/>
      <c r="J249" s="114"/>
      <c r="K249" s="114"/>
      <c r="L249" s="114"/>
      <c r="M249" s="114"/>
      <c r="N249" s="114"/>
      <c r="O249" s="114"/>
      <c r="P249" s="114"/>
      <c r="Q249" s="114"/>
      <c r="R249" s="114"/>
    </row>
    <row r="250" spans="2:18" x14ac:dyDescent="0.2">
      <c r="B250" s="114"/>
      <c r="C250" s="114"/>
      <c r="D250" s="114"/>
      <c r="E250" s="114"/>
      <c r="F250" s="114"/>
      <c r="G250" s="114"/>
      <c r="H250" s="114"/>
      <c r="I250" s="114"/>
      <c r="J250" s="114"/>
      <c r="K250" s="114"/>
      <c r="L250" s="114"/>
      <c r="M250" s="114"/>
      <c r="N250" s="114"/>
      <c r="O250" s="114"/>
      <c r="P250" s="114"/>
      <c r="Q250" s="114"/>
      <c r="R250" s="114"/>
    </row>
    <row r="251" spans="2:18" x14ac:dyDescent="0.2">
      <c r="B251" s="114"/>
      <c r="C251" s="114"/>
      <c r="D251" s="114"/>
      <c r="E251" s="114"/>
      <c r="F251" s="114"/>
      <c r="G251" s="114"/>
      <c r="H251" s="114"/>
      <c r="I251" s="114"/>
      <c r="J251" s="114"/>
      <c r="K251" s="114"/>
      <c r="L251" s="114"/>
      <c r="M251" s="114"/>
      <c r="N251" s="114"/>
      <c r="O251" s="114"/>
      <c r="P251" s="114"/>
      <c r="Q251" s="114"/>
      <c r="R251" s="114"/>
    </row>
    <row r="252" spans="2:18" x14ac:dyDescent="0.2">
      <c r="B252" s="114"/>
      <c r="C252" s="114"/>
      <c r="D252" s="114"/>
      <c r="E252" s="114"/>
      <c r="F252" s="114"/>
      <c r="G252" s="114"/>
      <c r="H252" s="114"/>
      <c r="I252" s="114"/>
      <c r="J252" s="114"/>
      <c r="K252" s="114"/>
      <c r="L252" s="114"/>
      <c r="M252" s="114"/>
      <c r="N252" s="114"/>
      <c r="O252" s="114"/>
      <c r="P252" s="114"/>
      <c r="Q252" s="114"/>
      <c r="R252" s="114"/>
    </row>
    <row r="253" spans="2:18" x14ac:dyDescent="0.2">
      <c r="B253" s="114"/>
      <c r="C253" s="114"/>
      <c r="D253" s="114"/>
      <c r="E253" s="114"/>
      <c r="F253" s="114"/>
      <c r="G253" s="114"/>
      <c r="H253" s="114"/>
      <c r="I253" s="114"/>
      <c r="J253" s="114"/>
      <c r="K253" s="114"/>
      <c r="L253" s="114"/>
      <c r="M253" s="114"/>
      <c r="N253" s="114"/>
      <c r="O253" s="114"/>
      <c r="P253" s="114"/>
      <c r="Q253" s="114"/>
      <c r="R253" s="114"/>
    </row>
    <row r="254" spans="2:18" x14ac:dyDescent="0.2">
      <c r="B254" s="114"/>
      <c r="C254" s="114"/>
      <c r="D254" s="114"/>
      <c r="E254" s="114"/>
      <c r="F254" s="114"/>
      <c r="G254" s="114"/>
      <c r="H254" s="114"/>
      <c r="I254" s="114"/>
      <c r="J254" s="114"/>
      <c r="K254" s="114"/>
      <c r="L254" s="114"/>
      <c r="M254" s="114"/>
      <c r="N254" s="114"/>
      <c r="O254" s="114"/>
      <c r="P254" s="114"/>
      <c r="Q254" s="114"/>
      <c r="R254" s="114"/>
    </row>
    <row r="255" spans="2:18" x14ac:dyDescent="0.2">
      <c r="B255" s="114"/>
      <c r="C255" s="114"/>
      <c r="D255" s="114"/>
      <c r="E255" s="114"/>
      <c r="F255" s="114"/>
      <c r="G255" s="114"/>
      <c r="H255" s="114"/>
      <c r="I255" s="114"/>
      <c r="J255" s="114"/>
      <c r="K255" s="114"/>
      <c r="L255" s="114"/>
      <c r="M255" s="114"/>
      <c r="N255" s="114"/>
      <c r="O255" s="114"/>
      <c r="P255" s="114"/>
      <c r="Q255" s="114"/>
      <c r="R255" s="114"/>
    </row>
    <row r="256" spans="2:18" x14ac:dyDescent="0.2">
      <c r="B256" s="114"/>
      <c r="C256" s="114"/>
      <c r="D256" s="114"/>
      <c r="E256" s="114"/>
      <c r="F256" s="114"/>
      <c r="G256" s="114"/>
      <c r="H256" s="114"/>
      <c r="I256" s="114"/>
      <c r="J256" s="114"/>
      <c r="K256" s="114"/>
      <c r="L256" s="114"/>
      <c r="M256" s="114"/>
      <c r="N256" s="114"/>
      <c r="O256" s="114"/>
      <c r="P256" s="114"/>
      <c r="Q256" s="114"/>
      <c r="R256" s="114"/>
    </row>
    <row r="257" spans="2:18" x14ac:dyDescent="0.2">
      <c r="B257" s="114"/>
      <c r="C257" s="114"/>
      <c r="D257" s="114"/>
      <c r="E257" s="114"/>
      <c r="F257" s="114"/>
      <c r="G257" s="114"/>
      <c r="H257" s="114"/>
      <c r="I257" s="114"/>
      <c r="J257" s="114"/>
      <c r="K257" s="114"/>
      <c r="L257" s="114"/>
      <c r="M257" s="114"/>
      <c r="N257" s="114"/>
      <c r="O257" s="114"/>
      <c r="P257" s="114"/>
      <c r="Q257" s="114"/>
      <c r="R257" s="114"/>
    </row>
    <row r="258" spans="2:18" x14ac:dyDescent="0.2">
      <c r="B258" s="114"/>
      <c r="C258" s="114"/>
      <c r="D258" s="114"/>
      <c r="E258" s="114"/>
      <c r="F258" s="114"/>
      <c r="G258" s="114"/>
      <c r="H258" s="114"/>
      <c r="I258" s="114"/>
      <c r="J258" s="114"/>
      <c r="K258" s="114"/>
      <c r="L258" s="114"/>
      <c r="M258" s="114"/>
      <c r="N258" s="114"/>
      <c r="O258" s="114"/>
      <c r="P258" s="114"/>
      <c r="Q258" s="114"/>
      <c r="R258" s="114"/>
    </row>
    <row r="259" spans="2:18" x14ac:dyDescent="0.2">
      <c r="B259" s="114"/>
      <c r="C259" s="114"/>
      <c r="D259" s="114"/>
      <c r="E259" s="114"/>
      <c r="F259" s="114"/>
      <c r="G259" s="114"/>
      <c r="H259" s="114"/>
      <c r="I259" s="114"/>
      <c r="J259" s="114"/>
      <c r="K259" s="114"/>
      <c r="L259" s="114"/>
      <c r="M259" s="114"/>
      <c r="N259" s="114"/>
      <c r="O259" s="114"/>
      <c r="P259" s="114"/>
      <c r="Q259" s="114"/>
      <c r="R259" s="114"/>
    </row>
    <row r="260" spans="2:18" x14ac:dyDescent="0.2">
      <c r="B260" s="114"/>
      <c r="C260" s="114"/>
      <c r="D260" s="114"/>
      <c r="E260" s="114"/>
      <c r="F260" s="114"/>
      <c r="G260" s="114"/>
      <c r="H260" s="114"/>
      <c r="I260" s="114"/>
      <c r="J260" s="114"/>
      <c r="K260" s="114"/>
      <c r="L260" s="114"/>
      <c r="M260" s="114"/>
      <c r="N260" s="114"/>
      <c r="O260" s="114"/>
      <c r="P260" s="114"/>
      <c r="Q260" s="114"/>
      <c r="R260" s="114"/>
    </row>
    <row r="261" spans="2:18" x14ac:dyDescent="0.2">
      <c r="B261" s="114"/>
      <c r="C261" s="114"/>
      <c r="D261" s="114"/>
      <c r="E261" s="114"/>
      <c r="F261" s="114"/>
      <c r="G261" s="114"/>
      <c r="H261" s="114"/>
      <c r="I261" s="114"/>
      <c r="J261" s="114"/>
      <c r="K261" s="114"/>
      <c r="L261" s="114"/>
      <c r="M261" s="114"/>
      <c r="N261" s="114"/>
      <c r="O261" s="114"/>
      <c r="P261" s="114"/>
      <c r="Q261" s="114"/>
      <c r="R261" s="114"/>
    </row>
    <row r="262" spans="2:18" x14ac:dyDescent="0.2">
      <c r="B262" s="114"/>
      <c r="C262" s="114"/>
      <c r="D262" s="114"/>
      <c r="E262" s="114"/>
      <c r="F262" s="114"/>
      <c r="G262" s="114"/>
      <c r="H262" s="114"/>
      <c r="I262" s="114"/>
      <c r="J262" s="114"/>
      <c r="K262" s="114"/>
      <c r="L262" s="114"/>
      <c r="M262" s="114"/>
      <c r="N262" s="114"/>
      <c r="O262" s="114"/>
      <c r="P262" s="114"/>
      <c r="Q262" s="114"/>
      <c r="R262" s="114"/>
    </row>
    <row r="263" spans="2:18" x14ac:dyDescent="0.2">
      <c r="B263" s="114"/>
      <c r="C263" s="114"/>
      <c r="D263" s="114"/>
      <c r="E263" s="114"/>
      <c r="F263" s="114"/>
      <c r="G263" s="114"/>
      <c r="H263" s="114"/>
      <c r="I263" s="114"/>
      <c r="J263" s="114"/>
      <c r="K263" s="114"/>
      <c r="L263" s="114"/>
      <c r="M263" s="114"/>
      <c r="N263" s="114"/>
      <c r="O263" s="114"/>
      <c r="P263" s="114"/>
      <c r="Q263" s="114"/>
      <c r="R263" s="114"/>
    </row>
    <row r="264" spans="2:18" x14ac:dyDescent="0.2">
      <c r="B264" s="114"/>
      <c r="C264" s="114"/>
      <c r="D264" s="114"/>
      <c r="E264" s="114"/>
      <c r="F264" s="114"/>
      <c r="G264" s="114"/>
      <c r="H264" s="114"/>
      <c r="I264" s="114"/>
      <c r="J264" s="114"/>
      <c r="K264" s="114"/>
      <c r="L264" s="114"/>
      <c r="M264" s="114"/>
      <c r="N264" s="114"/>
      <c r="O264" s="114"/>
      <c r="P264" s="114"/>
      <c r="Q264" s="114"/>
      <c r="R264" s="114"/>
    </row>
    <row r="265" spans="2:18" x14ac:dyDescent="0.2">
      <c r="B265" s="114"/>
      <c r="C265" s="114"/>
      <c r="D265" s="114"/>
      <c r="E265" s="114"/>
      <c r="F265" s="114"/>
      <c r="G265" s="114"/>
      <c r="H265" s="114"/>
      <c r="I265" s="114"/>
      <c r="J265" s="114"/>
      <c r="K265" s="114"/>
      <c r="L265" s="114"/>
      <c r="M265" s="114"/>
      <c r="N265" s="114"/>
      <c r="O265" s="114"/>
      <c r="P265" s="114"/>
      <c r="Q265" s="114"/>
      <c r="R265" s="114"/>
    </row>
    <row r="266" spans="2:18" x14ac:dyDescent="0.2">
      <c r="B266" s="114"/>
      <c r="C266" s="114"/>
      <c r="D266" s="114"/>
      <c r="E266" s="114"/>
      <c r="F266" s="114"/>
      <c r="G266" s="114"/>
      <c r="H266" s="114"/>
      <c r="I266" s="114"/>
      <c r="J266" s="114"/>
      <c r="K266" s="114"/>
      <c r="L266" s="114"/>
      <c r="M266" s="114"/>
      <c r="N266" s="114"/>
      <c r="O266" s="114"/>
      <c r="P266" s="114"/>
      <c r="Q266" s="114"/>
      <c r="R266" s="114"/>
    </row>
    <row r="267" spans="2:18" x14ac:dyDescent="0.2">
      <c r="B267" s="114"/>
      <c r="C267" s="114"/>
      <c r="D267" s="114"/>
      <c r="E267" s="114"/>
      <c r="F267" s="114"/>
      <c r="G267" s="114"/>
      <c r="H267" s="114"/>
      <c r="I267" s="114"/>
      <c r="J267" s="114"/>
      <c r="K267" s="114"/>
      <c r="L267" s="114"/>
      <c r="M267" s="114"/>
      <c r="N267" s="114"/>
      <c r="O267" s="114"/>
      <c r="P267" s="114"/>
      <c r="Q267" s="114"/>
      <c r="R267" s="114"/>
    </row>
    <row r="268" spans="2:18" x14ac:dyDescent="0.2">
      <c r="B268" s="114"/>
      <c r="C268" s="114"/>
      <c r="D268" s="114"/>
      <c r="E268" s="114"/>
      <c r="F268" s="114"/>
      <c r="G268" s="114"/>
      <c r="H268" s="114"/>
      <c r="I268" s="114"/>
      <c r="J268" s="114"/>
      <c r="K268" s="114"/>
      <c r="L268" s="114"/>
      <c r="M268" s="114"/>
      <c r="N268" s="114"/>
      <c r="O268" s="114"/>
      <c r="P268" s="114"/>
      <c r="Q268" s="114"/>
      <c r="R268" s="114"/>
    </row>
    <row r="269" spans="2:18" x14ac:dyDescent="0.2">
      <c r="B269" s="114"/>
      <c r="C269" s="114"/>
      <c r="D269" s="114"/>
      <c r="E269" s="114"/>
      <c r="F269" s="114"/>
      <c r="G269" s="114"/>
      <c r="H269" s="114"/>
      <c r="I269" s="114"/>
      <c r="J269" s="114"/>
      <c r="K269" s="114"/>
      <c r="L269" s="114"/>
      <c r="M269" s="114"/>
      <c r="N269" s="114"/>
      <c r="O269" s="114"/>
      <c r="P269" s="114"/>
      <c r="Q269" s="114"/>
      <c r="R269" s="114"/>
    </row>
    <row r="270" spans="2:18" x14ac:dyDescent="0.2">
      <c r="B270" s="114"/>
      <c r="C270" s="114"/>
      <c r="D270" s="114"/>
      <c r="E270" s="114"/>
      <c r="F270" s="114"/>
      <c r="G270" s="114"/>
      <c r="H270" s="114"/>
      <c r="I270" s="114"/>
      <c r="J270" s="114"/>
      <c r="K270" s="114"/>
      <c r="L270" s="114"/>
      <c r="M270" s="114"/>
      <c r="N270" s="114"/>
      <c r="O270" s="114"/>
      <c r="P270" s="114"/>
      <c r="Q270" s="114"/>
      <c r="R270" s="114"/>
    </row>
    <row r="271" spans="2:18" x14ac:dyDescent="0.2">
      <c r="B271" s="114"/>
      <c r="C271" s="114"/>
      <c r="D271" s="114"/>
      <c r="E271" s="114"/>
      <c r="F271" s="114"/>
      <c r="G271" s="114"/>
      <c r="H271" s="114"/>
      <c r="I271" s="114"/>
      <c r="J271" s="114"/>
      <c r="K271" s="114"/>
      <c r="L271" s="114"/>
      <c r="M271" s="114"/>
      <c r="N271" s="114"/>
      <c r="O271" s="114"/>
      <c r="P271" s="114"/>
      <c r="Q271" s="114"/>
      <c r="R271" s="114"/>
    </row>
    <row r="272" spans="2:18" x14ac:dyDescent="0.2">
      <c r="B272" s="114"/>
      <c r="C272" s="114"/>
      <c r="D272" s="114"/>
      <c r="E272" s="114"/>
      <c r="F272" s="114"/>
      <c r="G272" s="114"/>
      <c r="H272" s="114"/>
      <c r="I272" s="114"/>
      <c r="J272" s="114"/>
      <c r="K272" s="114"/>
      <c r="L272" s="114"/>
      <c r="M272" s="114"/>
      <c r="N272" s="114"/>
      <c r="O272" s="114"/>
      <c r="P272" s="114"/>
      <c r="Q272" s="114"/>
      <c r="R272" s="114"/>
    </row>
    <row r="273" spans="2:18" x14ac:dyDescent="0.2">
      <c r="B273" s="114"/>
      <c r="C273" s="114"/>
      <c r="D273" s="114"/>
      <c r="E273" s="114"/>
      <c r="F273" s="114"/>
      <c r="G273" s="114"/>
      <c r="H273" s="114"/>
      <c r="I273" s="114"/>
      <c r="J273" s="114"/>
      <c r="K273" s="114"/>
      <c r="L273" s="114"/>
      <c r="M273" s="114"/>
      <c r="N273" s="114"/>
      <c r="O273" s="114"/>
      <c r="P273" s="114"/>
      <c r="Q273" s="114"/>
      <c r="R273" s="114"/>
    </row>
    <row r="274" spans="2:18" x14ac:dyDescent="0.2">
      <c r="B274" s="114"/>
      <c r="C274" s="114"/>
      <c r="D274" s="114"/>
      <c r="E274" s="114"/>
      <c r="F274" s="114"/>
      <c r="G274" s="114"/>
      <c r="H274" s="114"/>
      <c r="I274" s="114"/>
      <c r="J274" s="114"/>
      <c r="K274" s="114"/>
      <c r="L274" s="114"/>
      <c r="M274" s="114"/>
      <c r="N274" s="114"/>
      <c r="O274" s="114"/>
      <c r="P274" s="114"/>
      <c r="Q274" s="114"/>
      <c r="R274" s="114"/>
    </row>
    <row r="275" spans="2:18" x14ac:dyDescent="0.2">
      <c r="B275" s="114"/>
      <c r="C275" s="114"/>
      <c r="D275" s="114"/>
      <c r="E275" s="114"/>
      <c r="F275" s="114"/>
      <c r="G275" s="114"/>
      <c r="H275" s="114"/>
      <c r="I275" s="114"/>
      <c r="J275" s="114"/>
      <c r="K275" s="114"/>
      <c r="L275" s="114"/>
      <c r="M275" s="114"/>
      <c r="N275" s="114"/>
      <c r="O275" s="114"/>
      <c r="P275" s="114"/>
      <c r="Q275" s="114"/>
      <c r="R275" s="114"/>
    </row>
    <row r="276" spans="2:18" x14ac:dyDescent="0.2">
      <c r="B276" s="114"/>
      <c r="C276" s="114"/>
      <c r="D276" s="114"/>
      <c r="E276" s="114"/>
      <c r="F276" s="114"/>
      <c r="G276" s="114"/>
      <c r="H276" s="114"/>
      <c r="I276" s="114"/>
      <c r="J276" s="114"/>
      <c r="K276" s="114"/>
      <c r="L276" s="114"/>
      <c r="M276" s="114"/>
      <c r="N276" s="114"/>
      <c r="O276" s="114"/>
      <c r="P276" s="114"/>
      <c r="Q276" s="114"/>
      <c r="R276" s="114"/>
    </row>
    <row r="277" spans="2:18" x14ac:dyDescent="0.2">
      <c r="B277" s="114"/>
      <c r="C277" s="114"/>
      <c r="D277" s="114"/>
      <c r="E277" s="114"/>
      <c r="F277" s="114"/>
      <c r="G277" s="114"/>
      <c r="H277" s="114"/>
      <c r="I277" s="114"/>
      <c r="J277" s="114"/>
      <c r="K277" s="114"/>
      <c r="L277" s="114"/>
      <c r="M277" s="114"/>
      <c r="N277" s="114"/>
      <c r="O277" s="114"/>
      <c r="P277" s="114"/>
      <c r="Q277" s="114"/>
      <c r="R277" s="114"/>
    </row>
    <row r="278" spans="2:18" x14ac:dyDescent="0.2">
      <c r="B278" s="114"/>
      <c r="C278" s="114"/>
      <c r="D278" s="114"/>
      <c r="E278" s="114"/>
      <c r="F278" s="114"/>
      <c r="G278" s="114"/>
      <c r="H278" s="114"/>
      <c r="I278" s="114"/>
      <c r="J278" s="114"/>
      <c r="K278" s="114"/>
      <c r="L278" s="114"/>
      <c r="M278" s="114"/>
      <c r="N278" s="114"/>
      <c r="O278" s="114"/>
      <c r="P278" s="114"/>
      <c r="Q278" s="114"/>
      <c r="R278" s="114"/>
    </row>
    <row r="279" spans="2:18" x14ac:dyDescent="0.2">
      <c r="B279" s="114"/>
      <c r="C279" s="114"/>
      <c r="D279" s="114"/>
      <c r="E279" s="114"/>
      <c r="F279" s="114"/>
      <c r="G279" s="114"/>
      <c r="H279" s="114"/>
      <c r="I279" s="114"/>
      <c r="J279" s="114"/>
      <c r="K279" s="114"/>
      <c r="L279" s="114"/>
      <c r="M279" s="114"/>
      <c r="N279" s="114"/>
      <c r="O279" s="114"/>
      <c r="P279" s="114"/>
      <c r="Q279" s="114"/>
      <c r="R279" s="114"/>
    </row>
    <row r="280" spans="2:18" x14ac:dyDescent="0.2">
      <c r="B280" s="114"/>
      <c r="C280" s="114"/>
      <c r="D280" s="114"/>
      <c r="E280" s="114"/>
      <c r="F280" s="114"/>
      <c r="G280" s="114"/>
      <c r="H280" s="114"/>
      <c r="I280" s="114"/>
      <c r="J280" s="114"/>
      <c r="K280" s="114"/>
      <c r="L280" s="114"/>
      <c r="M280" s="114"/>
      <c r="N280" s="114"/>
      <c r="O280" s="114"/>
      <c r="P280" s="114"/>
      <c r="Q280" s="114"/>
      <c r="R280" s="114"/>
    </row>
    <row r="281" spans="2:18" x14ac:dyDescent="0.2">
      <c r="B281" s="114"/>
      <c r="C281" s="114"/>
      <c r="D281" s="114"/>
      <c r="E281" s="114"/>
      <c r="F281" s="114"/>
      <c r="G281" s="114"/>
      <c r="H281" s="114"/>
      <c r="I281" s="114"/>
      <c r="J281" s="114"/>
      <c r="K281" s="114"/>
      <c r="L281" s="114"/>
      <c r="M281" s="114"/>
      <c r="N281" s="114"/>
      <c r="O281" s="114"/>
      <c r="P281" s="114"/>
      <c r="Q281" s="114"/>
      <c r="R281" s="114"/>
    </row>
    <row r="282" spans="2:18" x14ac:dyDescent="0.2">
      <c r="B282" s="114"/>
      <c r="C282" s="114"/>
      <c r="D282" s="114"/>
      <c r="E282" s="114"/>
      <c r="F282" s="114"/>
      <c r="G282" s="114"/>
      <c r="H282" s="114"/>
      <c r="I282" s="114"/>
      <c r="J282" s="114"/>
      <c r="K282" s="114"/>
      <c r="L282" s="114"/>
      <c r="M282" s="114"/>
      <c r="N282" s="114"/>
      <c r="O282" s="114"/>
      <c r="P282" s="114"/>
      <c r="Q282" s="114"/>
      <c r="R282" s="114"/>
    </row>
    <row r="283" spans="2:18" x14ac:dyDescent="0.2">
      <c r="B283" s="114"/>
      <c r="C283" s="114"/>
      <c r="D283" s="114"/>
      <c r="E283" s="114"/>
      <c r="F283" s="114"/>
      <c r="G283" s="114"/>
      <c r="H283" s="114"/>
      <c r="I283" s="114"/>
      <c r="J283" s="114"/>
      <c r="K283" s="114"/>
      <c r="L283" s="114"/>
      <c r="M283" s="114"/>
      <c r="N283" s="114"/>
      <c r="O283" s="114"/>
      <c r="P283" s="114"/>
      <c r="Q283" s="114"/>
      <c r="R283" s="114"/>
    </row>
    <row r="284" spans="2:18" x14ac:dyDescent="0.2">
      <c r="B284" s="114"/>
      <c r="C284" s="114"/>
      <c r="D284" s="114"/>
      <c r="E284" s="114"/>
      <c r="F284" s="114"/>
      <c r="G284" s="114"/>
      <c r="H284" s="114"/>
      <c r="I284" s="114"/>
      <c r="J284" s="114"/>
      <c r="K284" s="114"/>
      <c r="L284" s="114"/>
      <c r="M284" s="114"/>
      <c r="N284" s="114"/>
      <c r="O284" s="114"/>
      <c r="P284" s="114"/>
      <c r="Q284" s="114"/>
      <c r="R284" s="114"/>
    </row>
    <row r="285" spans="2:18" x14ac:dyDescent="0.2">
      <c r="B285" s="114"/>
      <c r="C285" s="114"/>
      <c r="D285" s="114"/>
      <c r="E285" s="114"/>
      <c r="F285" s="114"/>
      <c r="G285" s="114"/>
      <c r="H285" s="114"/>
      <c r="I285" s="114"/>
      <c r="J285" s="114"/>
      <c r="K285" s="114"/>
      <c r="L285" s="114"/>
      <c r="M285" s="114"/>
      <c r="N285" s="114"/>
      <c r="O285" s="114"/>
      <c r="P285" s="114"/>
      <c r="Q285" s="114"/>
      <c r="R285" s="114"/>
    </row>
    <row r="286" spans="2:18" x14ac:dyDescent="0.2">
      <c r="B286" s="114"/>
      <c r="C286" s="114"/>
      <c r="D286" s="114"/>
      <c r="E286" s="114"/>
      <c r="F286" s="114"/>
      <c r="G286" s="114"/>
      <c r="H286" s="114"/>
      <c r="I286" s="114"/>
      <c r="J286" s="114"/>
      <c r="K286" s="114"/>
      <c r="L286" s="114"/>
      <c r="M286" s="114"/>
      <c r="N286" s="114"/>
      <c r="O286" s="114"/>
      <c r="P286" s="114"/>
      <c r="Q286" s="114"/>
      <c r="R286" s="114"/>
    </row>
    <row r="287" spans="2:18" x14ac:dyDescent="0.2">
      <c r="B287" s="114"/>
      <c r="C287" s="114"/>
      <c r="D287" s="114"/>
      <c r="E287" s="114"/>
      <c r="F287" s="114"/>
      <c r="G287" s="114"/>
      <c r="H287" s="114"/>
      <c r="I287" s="114"/>
      <c r="J287" s="114"/>
      <c r="K287" s="114"/>
      <c r="L287" s="114"/>
      <c r="M287" s="114"/>
      <c r="N287" s="114"/>
      <c r="O287" s="114"/>
      <c r="P287" s="114"/>
      <c r="Q287" s="114"/>
      <c r="R287" s="114"/>
    </row>
    <row r="288" spans="2:18" x14ac:dyDescent="0.2">
      <c r="B288" s="114"/>
      <c r="C288" s="114"/>
      <c r="D288" s="114"/>
      <c r="E288" s="114"/>
      <c r="F288" s="114"/>
      <c r="G288" s="114"/>
      <c r="H288" s="114"/>
      <c r="I288" s="114"/>
      <c r="J288" s="114"/>
      <c r="K288" s="114"/>
      <c r="L288" s="114"/>
      <c r="M288" s="114"/>
      <c r="N288" s="114"/>
      <c r="O288" s="114"/>
      <c r="P288" s="114"/>
      <c r="Q288" s="114"/>
      <c r="R288" s="114"/>
    </row>
    <row r="289" spans="2:18" x14ac:dyDescent="0.2">
      <c r="B289" s="114"/>
      <c r="C289" s="114"/>
      <c r="D289" s="114"/>
      <c r="E289" s="114"/>
      <c r="F289" s="114"/>
      <c r="G289" s="114"/>
      <c r="H289" s="114"/>
      <c r="I289" s="114"/>
      <c r="J289" s="114"/>
      <c r="K289" s="114"/>
      <c r="L289" s="114"/>
      <c r="M289" s="114"/>
      <c r="N289" s="114"/>
      <c r="O289" s="114"/>
      <c r="P289" s="114"/>
      <c r="Q289" s="114"/>
      <c r="R289" s="114"/>
    </row>
    <row r="290" spans="2:18" x14ac:dyDescent="0.2">
      <c r="B290" s="114"/>
      <c r="C290" s="114"/>
      <c r="D290" s="114"/>
      <c r="E290" s="114"/>
      <c r="F290" s="114"/>
      <c r="G290" s="114"/>
      <c r="H290" s="114"/>
      <c r="I290" s="114"/>
      <c r="J290" s="114"/>
      <c r="K290" s="114"/>
      <c r="L290" s="114"/>
      <c r="M290" s="114"/>
      <c r="N290" s="114"/>
      <c r="O290" s="114"/>
      <c r="P290" s="114"/>
      <c r="Q290" s="114"/>
      <c r="R290" s="114"/>
    </row>
    <row r="291" spans="2:18" x14ac:dyDescent="0.2">
      <c r="B291" s="114"/>
      <c r="C291" s="114"/>
      <c r="D291" s="114"/>
      <c r="E291" s="114"/>
      <c r="F291" s="114"/>
      <c r="G291" s="114"/>
      <c r="H291" s="114"/>
      <c r="I291" s="114"/>
      <c r="J291" s="114"/>
      <c r="K291" s="114"/>
      <c r="L291" s="114"/>
      <c r="M291" s="114"/>
      <c r="N291" s="114"/>
      <c r="O291" s="114"/>
      <c r="P291" s="114"/>
      <c r="Q291" s="114"/>
      <c r="R291" s="114"/>
    </row>
    <row r="292" spans="2:18" x14ac:dyDescent="0.2">
      <c r="B292" s="114"/>
      <c r="C292" s="114"/>
      <c r="D292" s="114"/>
      <c r="E292" s="114"/>
      <c r="F292" s="114"/>
      <c r="G292" s="114"/>
      <c r="H292" s="114"/>
      <c r="I292" s="114"/>
      <c r="J292" s="114"/>
      <c r="K292" s="114"/>
      <c r="L292" s="114"/>
      <c r="M292" s="114"/>
      <c r="N292" s="114"/>
      <c r="O292" s="114"/>
      <c r="P292" s="114"/>
      <c r="Q292" s="114"/>
      <c r="R292" s="114"/>
    </row>
    <row r="293" spans="2:18" x14ac:dyDescent="0.2">
      <c r="B293" s="114"/>
      <c r="C293" s="114"/>
      <c r="D293" s="114"/>
      <c r="E293" s="114"/>
      <c r="F293" s="114"/>
      <c r="G293" s="114"/>
      <c r="H293" s="114"/>
      <c r="I293" s="114"/>
      <c r="J293" s="114"/>
      <c r="K293" s="114"/>
      <c r="L293" s="114"/>
      <c r="M293" s="114"/>
      <c r="N293" s="114"/>
      <c r="O293" s="114"/>
      <c r="P293" s="114"/>
      <c r="Q293" s="114"/>
      <c r="R293" s="114"/>
    </row>
    <row r="294" spans="2:18" x14ac:dyDescent="0.2">
      <c r="B294" s="114"/>
      <c r="C294" s="114"/>
      <c r="D294" s="114"/>
      <c r="E294" s="114"/>
      <c r="F294" s="114"/>
      <c r="G294" s="114"/>
      <c r="H294" s="114"/>
      <c r="I294" s="114"/>
      <c r="J294" s="114"/>
      <c r="K294" s="114"/>
      <c r="L294" s="114"/>
      <c r="M294" s="114"/>
      <c r="N294" s="114"/>
      <c r="O294" s="114"/>
      <c r="P294" s="114"/>
      <c r="Q294" s="114"/>
      <c r="R294" s="114"/>
    </row>
    <row r="295" spans="2:18" x14ac:dyDescent="0.2">
      <c r="B295" s="114"/>
      <c r="C295" s="114"/>
      <c r="D295" s="114"/>
      <c r="E295" s="114"/>
      <c r="F295" s="114"/>
      <c r="G295" s="114"/>
      <c r="H295" s="114"/>
      <c r="I295" s="114"/>
      <c r="J295" s="114"/>
      <c r="K295" s="114"/>
      <c r="L295" s="114"/>
      <c r="M295" s="114"/>
      <c r="N295" s="114"/>
      <c r="O295" s="114"/>
      <c r="P295" s="114"/>
      <c r="Q295" s="114"/>
      <c r="R295" s="114"/>
    </row>
    <row r="296" spans="2:18" x14ac:dyDescent="0.2">
      <c r="B296" s="114"/>
      <c r="C296" s="114"/>
      <c r="D296" s="114"/>
      <c r="E296" s="114"/>
      <c r="F296" s="114"/>
      <c r="G296" s="114"/>
      <c r="H296" s="114"/>
      <c r="I296" s="114"/>
      <c r="J296" s="114"/>
      <c r="K296" s="114"/>
      <c r="L296" s="114"/>
      <c r="M296" s="114"/>
      <c r="N296" s="114"/>
      <c r="O296" s="114"/>
      <c r="P296" s="114"/>
      <c r="Q296" s="114"/>
      <c r="R296" s="114"/>
    </row>
    <row r="297" spans="2:18" x14ac:dyDescent="0.2">
      <c r="B297" s="114"/>
      <c r="C297" s="114"/>
      <c r="D297" s="114"/>
      <c r="E297" s="114"/>
      <c r="F297" s="114"/>
      <c r="G297" s="114"/>
      <c r="H297" s="114"/>
      <c r="I297" s="114"/>
      <c r="J297" s="114"/>
      <c r="K297" s="114"/>
      <c r="L297" s="114"/>
      <c r="M297" s="114"/>
      <c r="N297" s="114"/>
      <c r="O297" s="114"/>
      <c r="P297" s="114"/>
      <c r="Q297" s="114"/>
      <c r="R297" s="114"/>
    </row>
    <row r="298" spans="2:18" x14ac:dyDescent="0.2">
      <c r="B298" s="114"/>
      <c r="C298" s="114"/>
      <c r="D298" s="114"/>
      <c r="E298" s="114"/>
      <c r="F298" s="114"/>
      <c r="G298" s="114"/>
      <c r="H298" s="114"/>
      <c r="I298" s="114"/>
      <c r="J298" s="114"/>
      <c r="K298" s="114"/>
      <c r="L298" s="114"/>
      <c r="M298" s="114"/>
      <c r="N298" s="114"/>
      <c r="O298" s="114"/>
      <c r="P298" s="114"/>
      <c r="Q298" s="114"/>
      <c r="R298" s="114"/>
    </row>
    <row r="299" spans="2:18" x14ac:dyDescent="0.2">
      <c r="B299" s="114"/>
      <c r="C299" s="114"/>
      <c r="D299" s="114"/>
      <c r="E299" s="114"/>
      <c r="F299" s="114"/>
      <c r="G299" s="114"/>
      <c r="H299" s="114"/>
      <c r="I299" s="114"/>
      <c r="J299" s="114"/>
      <c r="K299" s="114"/>
      <c r="L299" s="114"/>
      <c r="M299" s="114"/>
      <c r="N299" s="114"/>
      <c r="O299" s="114"/>
      <c r="P299" s="114"/>
      <c r="Q299" s="114"/>
      <c r="R299" s="114"/>
    </row>
    <row r="300" spans="2:18" x14ac:dyDescent="0.2">
      <c r="B300" s="114"/>
      <c r="C300" s="114"/>
      <c r="D300" s="114"/>
      <c r="E300" s="114"/>
      <c r="F300" s="114"/>
      <c r="G300" s="114"/>
      <c r="H300" s="114"/>
      <c r="I300" s="114"/>
      <c r="J300" s="114"/>
      <c r="K300" s="114"/>
      <c r="L300" s="114"/>
      <c r="M300" s="114"/>
      <c r="N300" s="114"/>
      <c r="O300" s="114"/>
      <c r="P300" s="114"/>
      <c r="Q300" s="114"/>
      <c r="R300" s="114"/>
    </row>
    <row r="301" spans="2:18" x14ac:dyDescent="0.2">
      <c r="B301" s="114"/>
      <c r="C301" s="114"/>
      <c r="D301" s="114"/>
      <c r="E301" s="114"/>
      <c r="F301" s="114"/>
      <c r="G301" s="114"/>
      <c r="H301" s="114"/>
      <c r="I301" s="114"/>
      <c r="J301" s="114"/>
      <c r="K301" s="114"/>
      <c r="L301" s="114"/>
      <c r="M301" s="114"/>
      <c r="N301" s="114"/>
      <c r="O301" s="114"/>
      <c r="P301" s="114"/>
      <c r="Q301" s="114"/>
      <c r="R301" s="114"/>
    </row>
    <row r="302" spans="2:18" x14ac:dyDescent="0.2">
      <c r="B302" s="114"/>
      <c r="C302" s="114"/>
      <c r="D302" s="114"/>
      <c r="E302" s="114"/>
      <c r="F302" s="114"/>
      <c r="G302" s="114"/>
      <c r="H302" s="114"/>
      <c r="I302" s="114"/>
      <c r="J302" s="114"/>
      <c r="K302" s="114"/>
      <c r="L302" s="114"/>
      <c r="M302" s="114"/>
      <c r="N302" s="114"/>
      <c r="O302" s="114"/>
      <c r="P302" s="114"/>
      <c r="Q302" s="114"/>
      <c r="R302" s="114"/>
    </row>
    <row r="303" spans="2:18" x14ac:dyDescent="0.2">
      <c r="B303" s="114"/>
      <c r="C303" s="114"/>
      <c r="D303" s="114"/>
      <c r="E303" s="114"/>
      <c r="F303" s="114"/>
      <c r="G303" s="114"/>
      <c r="H303" s="114"/>
      <c r="I303" s="114"/>
      <c r="J303" s="114"/>
      <c r="K303" s="114"/>
      <c r="L303" s="114"/>
      <c r="M303" s="114"/>
      <c r="N303" s="114"/>
      <c r="O303" s="114"/>
      <c r="P303" s="114"/>
      <c r="Q303" s="114"/>
      <c r="R303" s="114"/>
    </row>
    <row r="304" spans="2:18" x14ac:dyDescent="0.2">
      <c r="B304" s="114"/>
      <c r="C304" s="114"/>
      <c r="D304" s="114"/>
      <c r="E304" s="114"/>
      <c r="F304" s="114"/>
      <c r="G304" s="114"/>
      <c r="H304" s="114"/>
      <c r="I304" s="114"/>
      <c r="J304" s="114"/>
      <c r="K304" s="114"/>
      <c r="L304" s="114"/>
      <c r="M304" s="114"/>
      <c r="N304" s="114"/>
      <c r="O304" s="114"/>
      <c r="P304" s="114"/>
      <c r="Q304" s="114"/>
      <c r="R304" s="114"/>
    </row>
    <row r="305" spans="2:18" x14ac:dyDescent="0.2">
      <c r="B305" s="114"/>
      <c r="C305" s="114"/>
      <c r="D305" s="114"/>
      <c r="E305" s="114"/>
      <c r="F305" s="114"/>
      <c r="G305" s="114"/>
      <c r="H305" s="114"/>
      <c r="I305" s="114"/>
      <c r="J305" s="114"/>
      <c r="K305" s="114"/>
      <c r="L305" s="114"/>
      <c r="M305" s="114"/>
      <c r="N305" s="114"/>
      <c r="O305" s="114"/>
      <c r="P305" s="114"/>
      <c r="Q305" s="114"/>
      <c r="R305" s="114"/>
    </row>
    <row r="306" spans="2:18" x14ac:dyDescent="0.2">
      <c r="B306" s="114"/>
      <c r="C306" s="114"/>
      <c r="D306" s="114"/>
      <c r="E306" s="114"/>
      <c r="F306" s="114"/>
      <c r="G306" s="114"/>
      <c r="H306" s="114"/>
      <c r="I306" s="114"/>
      <c r="J306" s="114"/>
      <c r="K306" s="114"/>
      <c r="L306" s="114"/>
      <c r="M306" s="114"/>
      <c r="N306" s="114"/>
      <c r="O306" s="114"/>
      <c r="P306" s="114"/>
      <c r="Q306" s="114"/>
      <c r="R306" s="114"/>
    </row>
    <row r="307" spans="2:18" x14ac:dyDescent="0.2">
      <c r="B307" s="114"/>
      <c r="C307" s="114"/>
      <c r="D307" s="114"/>
      <c r="E307" s="114"/>
      <c r="F307" s="114"/>
      <c r="G307" s="114"/>
      <c r="H307" s="114"/>
      <c r="I307" s="114"/>
      <c r="J307" s="114"/>
      <c r="K307" s="114"/>
      <c r="L307" s="114"/>
      <c r="M307" s="114"/>
      <c r="N307" s="114"/>
      <c r="O307" s="114"/>
      <c r="P307" s="114"/>
      <c r="Q307" s="114"/>
      <c r="R307" s="114"/>
    </row>
    <row r="308" spans="2:18" x14ac:dyDescent="0.2">
      <c r="B308" s="114"/>
      <c r="C308" s="114"/>
      <c r="D308" s="114"/>
      <c r="E308" s="114"/>
      <c r="F308" s="114"/>
      <c r="G308" s="114"/>
      <c r="H308" s="114"/>
      <c r="I308" s="114"/>
      <c r="J308" s="114"/>
      <c r="K308" s="114"/>
      <c r="L308" s="114"/>
      <c r="M308" s="114"/>
      <c r="N308" s="114"/>
      <c r="O308" s="114"/>
      <c r="P308" s="114"/>
      <c r="Q308" s="114"/>
      <c r="R308" s="114"/>
    </row>
    <row r="309" spans="2:18" x14ac:dyDescent="0.2">
      <c r="B309" s="114"/>
      <c r="C309" s="114"/>
      <c r="D309" s="114"/>
      <c r="E309" s="114"/>
      <c r="F309" s="114"/>
      <c r="G309" s="114"/>
      <c r="H309" s="114"/>
      <c r="I309" s="114"/>
      <c r="J309" s="114"/>
      <c r="K309" s="114"/>
      <c r="L309" s="114"/>
      <c r="M309" s="114"/>
      <c r="N309" s="114"/>
      <c r="O309" s="114"/>
      <c r="P309" s="114"/>
      <c r="Q309" s="114"/>
      <c r="R309" s="114"/>
    </row>
    <row r="310" spans="2:18" x14ac:dyDescent="0.2">
      <c r="B310" s="114"/>
      <c r="C310" s="114"/>
      <c r="D310" s="114"/>
      <c r="E310" s="114"/>
      <c r="F310" s="114"/>
      <c r="G310" s="114"/>
      <c r="H310" s="114"/>
      <c r="I310" s="114"/>
      <c r="J310" s="114"/>
      <c r="K310" s="114"/>
      <c r="L310" s="114"/>
      <c r="M310" s="114"/>
      <c r="N310" s="114"/>
      <c r="O310" s="114"/>
      <c r="P310" s="114"/>
      <c r="Q310" s="114"/>
      <c r="R310" s="114"/>
    </row>
    <row r="311" spans="2:18" x14ac:dyDescent="0.2">
      <c r="B311" s="114"/>
      <c r="C311" s="114"/>
      <c r="D311" s="114"/>
      <c r="E311" s="114"/>
      <c r="F311" s="114"/>
      <c r="G311" s="114"/>
      <c r="H311" s="114"/>
      <c r="I311" s="114"/>
      <c r="J311" s="114"/>
      <c r="K311" s="114"/>
      <c r="L311" s="114"/>
      <c r="M311" s="114"/>
      <c r="N311" s="114"/>
      <c r="O311" s="114"/>
      <c r="P311" s="114"/>
      <c r="Q311" s="114"/>
      <c r="R311" s="114"/>
    </row>
    <row r="312" spans="2:18" x14ac:dyDescent="0.2">
      <c r="B312" s="114"/>
      <c r="C312" s="114"/>
      <c r="D312" s="114"/>
      <c r="E312" s="114"/>
      <c r="F312" s="114"/>
      <c r="G312" s="114"/>
      <c r="H312" s="114"/>
      <c r="I312" s="114"/>
      <c r="J312" s="114"/>
      <c r="K312" s="114"/>
      <c r="L312" s="114"/>
      <c r="M312" s="114"/>
      <c r="N312" s="114"/>
      <c r="O312" s="114"/>
      <c r="P312" s="114"/>
      <c r="Q312" s="114"/>
      <c r="R312" s="114"/>
    </row>
    <row r="313" spans="2:18" x14ac:dyDescent="0.2">
      <c r="B313" s="114"/>
      <c r="C313" s="114"/>
      <c r="D313" s="114"/>
      <c r="E313" s="114"/>
      <c r="F313" s="114"/>
      <c r="G313" s="114"/>
      <c r="H313" s="114"/>
      <c r="I313" s="114"/>
      <c r="J313" s="114"/>
      <c r="K313" s="114"/>
      <c r="L313" s="114"/>
      <c r="M313" s="114"/>
      <c r="N313" s="114"/>
      <c r="O313" s="114"/>
      <c r="P313" s="114"/>
      <c r="Q313" s="114"/>
      <c r="R313" s="114"/>
    </row>
    <row r="314" spans="2:18" x14ac:dyDescent="0.2">
      <c r="B314" s="114"/>
      <c r="C314" s="114"/>
      <c r="D314" s="114"/>
      <c r="E314" s="114"/>
      <c r="F314" s="114"/>
      <c r="G314" s="114"/>
      <c r="H314" s="114"/>
      <c r="I314" s="114"/>
      <c r="J314" s="114"/>
      <c r="K314" s="114"/>
      <c r="L314" s="114"/>
      <c r="M314" s="114"/>
      <c r="N314" s="114"/>
      <c r="O314" s="114"/>
      <c r="P314" s="114"/>
      <c r="Q314" s="114"/>
      <c r="R314" s="114"/>
    </row>
    <row r="315" spans="2:18" x14ac:dyDescent="0.2">
      <c r="B315" s="114"/>
      <c r="C315" s="114"/>
      <c r="D315" s="114"/>
      <c r="E315" s="114"/>
      <c r="F315" s="114"/>
      <c r="G315" s="114"/>
      <c r="H315" s="114"/>
      <c r="I315" s="114"/>
      <c r="J315" s="114"/>
      <c r="K315" s="114"/>
      <c r="L315" s="114"/>
      <c r="M315" s="114"/>
      <c r="N315" s="114"/>
      <c r="O315" s="114"/>
      <c r="P315" s="114"/>
      <c r="Q315" s="114"/>
      <c r="R315" s="114"/>
    </row>
    <row r="316" spans="2:18" x14ac:dyDescent="0.2">
      <c r="B316" s="114"/>
      <c r="C316" s="114"/>
      <c r="D316" s="114"/>
      <c r="E316" s="114"/>
      <c r="F316" s="114"/>
      <c r="G316" s="114"/>
      <c r="H316" s="114"/>
      <c r="I316" s="114"/>
      <c r="J316" s="114"/>
      <c r="K316" s="114"/>
      <c r="L316" s="114"/>
      <c r="M316" s="114"/>
      <c r="N316" s="114"/>
      <c r="O316" s="114"/>
      <c r="P316" s="114"/>
      <c r="Q316" s="114"/>
      <c r="R316" s="114"/>
    </row>
    <row r="317" spans="2:18" x14ac:dyDescent="0.2">
      <c r="B317" s="114"/>
      <c r="C317" s="114"/>
      <c r="D317" s="114"/>
      <c r="E317" s="114"/>
      <c r="F317" s="114"/>
      <c r="G317" s="114"/>
      <c r="H317" s="114"/>
      <c r="I317" s="114"/>
      <c r="J317" s="114"/>
      <c r="K317" s="114"/>
      <c r="L317" s="114"/>
      <c r="M317" s="114"/>
      <c r="N317" s="114"/>
      <c r="O317" s="114"/>
      <c r="P317" s="114"/>
      <c r="Q317" s="114"/>
      <c r="R317" s="114"/>
    </row>
    <row r="318" spans="2:18" x14ac:dyDescent="0.2">
      <c r="B318" s="114"/>
      <c r="C318" s="114"/>
      <c r="D318" s="114"/>
      <c r="E318" s="114"/>
      <c r="F318" s="114"/>
      <c r="G318" s="114"/>
      <c r="H318" s="114"/>
      <c r="I318" s="114"/>
      <c r="J318" s="114"/>
      <c r="K318" s="114"/>
      <c r="L318" s="114"/>
      <c r="M318" s="114"/>
      <c r="N318" s="114"/>
      <c r="O318" s="114"/>
      <c r="P318" s="114"/>
      <c r="Q318" s="114"/>
      <c r="R318" s="114"/>
    </row>
  </sheetData>
  <sheetProtection algorithmName="SHA-512" hashValue="p8yWp42sYK7YsmFQKV0fxoP7hSUXMHfZrYt9i3025GMHJ6Ye1rRrirHgRwPw+P8VDbxBOte17AVmk/HITI6PVA==" saltValue="jTXrpCPqBtJccWt+0hQHCQ==" spinCount="100000" sheet="1" objects="1" scenarios="1"/>
  <mergeCells count="13">
    <mergeCell ref="B40:E41"/>
    <mergeCell ref="G40:K41"/>
    <mergeCell ref="B45:D45"/>
    <mergeCell ref="B51:L51"/>
    <mergeCell ref="B2:G3"/>
    <mergeCell ref="B30:L33"/>
    <mergeCell ref="B26:E26"/>
    <mergeCell ref="B27:L29"/>
    <mergeCell ref="B37:J37"/>
    <mergeCell ref="B38:I39"/>
    <mergeCell ref="B5:I6"/>
    <mergeCell ref="C8:D8"/>
    <mergeCell ref="E8:F8"/>
  </mergeCells>
  <phoneticPr fontId="0" type="noConversion"/>
  <hyperlinks>
    <hyperlink ref="B45" r:id="rId1"/>
    <hyperlink ref="B37:J37" r:id="rId2" display="Evaluating Baler Ownership with the Own Baler Spreadsheet"/>
  </hyperlinks>
  <pageMargins left="0.75" right="0.75" top="1" bottom="1" header="0.5" footer="0.5"/>
  <pageSetup scale="75"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U95"/>
  <sheetViews>
    <sheetView showOutlineSymbols="0" zoomScale="87" zoomScaleNormal="87" workbookViewId="0">
      <selection activeCell="P39" sqref="P39"/>
    </sheetView>
  </sheetViews>
  <sheetFormatPr defaultColWidth="9.6640625" defaultRowHeight="12.75" x14ac:dyDescent="0.2"/>
  <cols>
    <col min="1" max="1" width="4.77734375" style="2" customWidth="1"/>
    <col min="2" max="12" width="9.5546875" style="4" customWidth="1"/>
    <col min="13" max="20" width="9.6640625" style="21" customWidth="1"/>
    <col min="21" max="16384" width="9.6640625" style="4"/>
  </cols>
  <sheetData>
    <row r="2" spans="1:21" ht="13.5" thickBot="1" x14ac:dyDescent="0.25">
      <c r="A2" s="11"/>
      <c r="B2" s="35" t="s">
        <v>34</v>
      </c>
      <c r="C2" s="36"/>
      <c r="D2" s="36"/>
      <c r="E2" s="36"/>
      <c r="F2" s="36"/>
      <c r="G2" s="36"/>
      <c r="H2" s="36"/>
      <c r="I2" s="36"/>
      <c r="J2" s="37"/>
      <c r="K2" s="37"/>
      <c r="L2" s="37"/>
    </row>
    <row r="3" spans="1:21" x14ac:dyDescent="0.2">
      <c r="A3" s="11"/>
      <c r="B3" s="3"/>
      <c r="C3" s="22"/>
      <c r="D3" s="22"/>
      <c r="E3" s="22"/>
      <c r="F3" s="22"/>
      <c r="G3" s="22"/>
      <c r="H3" s="22"/>
      <c r="I3" s="22"/>
      <c r="J3" s="21"/>
      <c r="K3" s="21"/>
      <c r="L3" s="21"/>
    </row>
    <row r="4" spans="1:21" s="21" customFormat="1" x14ac:dyDescent="0.2">
      <c r="A4" s="11"/>
      <c r="B4" s="21" t="s">
        <v>285</v>
      </c>
      <c r="J4" s="39"/>
      <c r="K4" s="39"/>
    </row>
    <row r="5" spans="1:21" s="21" customFormat="1" x14ac:dyDescent="0.2">
      <c r="A5" s="11"/>
      <c r="F5" s="4"/>
      <c r="I5" s="51" t="s">
        <v>56</v>
      </c>
      <c r="J5" s="51"/>
      <c r="L5" s="4"/>
      <c r="N5" s="95"/>
      <c r="O5" s="95"/>
    </row>
    <row r="6" spans="1:21" s="21" customFormat="1" ht="15" x14ac:dyDescent="0.2">
      <c r="A6" s="11"/>
      <c r="B6" s="191" t="s">
        <v>68</v>
      </c>
      <c r="C6" s="192"/>
      <c r="D6" s="62"/>
      <c r="E6" s="62"/>
      <c r="F6" s="62"/>
      <c r="G6" s="31" t="s">
        <v>6</v>
      </c>
      <c r="H6" s="31" t="s">
        <v>70</v>
      </c>
      <c r="I6" s="31" t="s">
        <v>13</v>
      </c>
      <c r="J6" s="31" t="s">
        <v>15</v>
      </c>
      <c r="K6" s="31" t="s">
        <v>54</v>
      </c>
      <c r="N6" s="95"/>
      <c r="O6" s="95"/>
    </row>
    <row r="7" spans="1:21" s="21" customFormat="1" x14ac:dyDescent="0.2">
      <c r="A7" s="11"/>
      <c r="B7" s="39">
        <v>1</v>
      </c>
      <c r="C7" s="55" t="s">
        <v>66</v>
      </c>
      <c r="G7" s="104">
        <f>+Introduction!D86</f>
        <v>-5.7636583260407437E-2</v>
      </c>
      <c r="H7" s="21">
        <f>+Introduction!E86</f>
        <v>-1E-3</v>
      </c>
      <c r="I7" s="78">
        <f>Introduction!H86</f>
        <v>0.55000000000000004</v>
      </c>
      <c r="J7" s="78">
        <f>Introduction!I86</f>
        <v>1.8</v>
      </c>
      <c r="K7" s="79">
        <f>Introduction!J86</f>
        <v>1500</v>
      </c>
      <c r="N7" s="95"/>
      <c r="O7" s="95"/>
    </row>
    <row r="8" spans="1:21" s="21" customFormat="1" x14ac:dyDescent="0.2">
      <c r="A8" s="11"/>
      <c r="B8" s="31">
        <v>2</v>
      </c>
      <c r="C8" s="96" t="s">
        <v>67</v>
      </c>
      <c r="D8" s="31"/>
      <c r="E8" s="62"/>
      <c r="F8" s="62"/>
      <c r="G8" s="105">
        <f>+Introduction!D87</f>
        <v>-7.7698505043562113E-2</v>
      </c>
      <c r="H8" s="62">
        <f>+Introduction!E87</f>
        <v>-2.5000000000000001E-4</v>
      </c>
      <c r="I8" s="97">
        <f>Introduction!H87</f>
        <v>0.25</v>
      </c>
      <c r="J8" s="97">
        <f>Introduction!I87</f>
        <v>1.8</v>
      </c>
      <c r="K8" s="98">
        <f>Introduction!J87</f>
        <v>3000</v>
      </c>
      <c r="N8" s="95"/>
      <c r="O8" s="95"/>
      <c r="U8" s="4"/>
    </row>
    <row r="9" spans="1:21" s="21" customFormat="1" x14ac:dyDescent="0.2">
      <c r="A9" s="11"/>
      <c r="B9" s="3" t="s">
        <v>57</v>
      </c>
      <c r="C9" s="60"/>
      <c r="F9" s="60" t="str">
        <f>IF($F12=1,C7,IF($F12=2,C8,"NA"))</f>
        <v>Large round baler</v>
      </c>
      <c r="G9" s="106">
        <f>IF($F12=1,G7,IF($F12=2,G8,"NA"))</f>
        <v>-5.7636583260407437E-2</v>
      </c>
      <c r="H9" s="60">
        <f>IF($F12=1,H7,IF($F12=2,H8,"NA"))</f>
        <v>-1E-3</v>
      </c>
      <c r="I9" s="39">
        <f>IF($F12=1,I7,IF($F12=2,I8,"NA"))</f>
        <v>0.55000000000000004</v>
      </c>
      <c r="J9" s="91">
        <f>IF($F12=1,J7,IF($F12=2,J8,"NA"))</f>
        <v>1.8</v>
      </c>
      <c r="K9" s="39">
        <f>IF($F12=1,K7,IF($F12=2,K8,"NA"))</f>
        <v>1500</v>
      </c>
      <c r="N9" s="11"/>
      <c r="P9" s="11"/>
      <c r="Q9" s="11"/>
      <c r="R9" s="11"/>
      <c r="S9" s="11"/>
      <c r="T9" s="11"/>
      <c r="U9" s="11"/>
    </row>
    <row r="10" spans="1:21" ht="13.5" thickBot="1" x14ac:dyDescent="0.25">
      <c r="A10" s="11"/>
      <c r="B10" s="36"/>
      <c r="C10" s="36"/>
      <c r="D10" s="36"/>
      <c r="E10" s="36"/>
      <c r="F10" s="36"/>
      <c r="G10" s="36"/>
      <c r="H10" s="36"/>
      <c r="I10" s="36"/>
      <c r="J10" s="36"/>
      <c r="K10" s="36"/>
      <c r="L10" s="36"/>
      <c r="M10" s="22"/>
      <c r="N10" s="22"/>
      <c r="O10" s="22"/>
      <c r="P10" s="22"/>
      <c r="Q10" s="22"/>
      <c r="R10" s="22"/>
      <c r="S10" s="22"/>
      <c r="T10" s="11"/>
      <c r="U10" s="11"/>
    </row>
    <row r="11" spans="1:21" x14ac:dyDescent="0.2">
      <c r="B11" s="83" t="s">
        <v>152</v>
      </c>
      <c r="D11" s="81"/>
      <c r="H11" s="83" t="s">
        <v>185</v>
      </c>
      <c r="J11" s="81"/>
      <c r="U11" s="11"/>
    </row>
    <row r="12" spans="1:21" x14ac:dyDescent="0.2">
      <c r="B12" s="4" t="s">
        <v>257</v>
      </c>
      <c r="F12" s="41">
        <v>1</v>
      </c>
      <c r="H12" s="4" t="s">
        <v>223</v>
      </c>
      <c r="L12" s="41">
        <v>150</v>
      </c>
      <c r="U12" s="11"/>
    </row>
    <row r="13" spans="1:21" x14ac:dyDescent="0.2">
      <c r="B13" s="4" t="s">
        <v>258</v>
      </c>
      <c r="F13" s="45">
        <v>1</v>
      </c>
      <c r="H13" s="4" t="s">
        <v>222</v>
      </c>
      <c r="L13" s="61">
        <v>0.2</v>
      </c>
      <c r="U13" s="11"/>
    </row>
    <row r="14" spans="1:21" x14ac:dyDescent="0.2">
      <c r="B14" s="4" t="s">
        <v>158</v>
      </c>
      <c r="F14" s="41">
        <v>0</v>
      </c>
      <c r="G14" s="90"/>
      <c r="H14" s="4" t="s">
        <v>187</v>
      </c>
      <c r="L14" s="82">
        <f>L12*L13</f>
        <v>30</v>
      </c>
      <c r="U14" s="11"/>
    </row>
    <row r="15" spans="1:21" x14ac:dyDescent="0.2">
      <c r="B15" s="4" t="s">
        <v>162</v>
      </c>
      <c r="F15" s="70">
        <v>0</v>
      </c>
      <c r="G15" s="90"/>
      <c r="H15" s="4" t="s">
        <v>189</v>
      </c>
      <c r="L15" s="41">
        <v>8</v>
      </c>
    </row>
    <row r="16" spans="1:21" x14ac:dyDescent="0.2">
      <c r="B16" s="4" t="s">
        <v>159</v>
      </c>
      <c r="F16" s="41">
        <v>60</v>
      </c>
      <c r="G16" s="2"/>
      <c r="H16" s="4" t="s">
        <v>59</v>
      </c>
      <c r="L16" s="61">
        <v>2.25</v>
      </c>
    </row>
    <row r="17" spans="2:21" x14ac:dyDescent="0.2">
      <c r="B17" s="4" t="s">
        <v>160</v>
      </c>
      <c r="F17" s="41">
        <v>72</v>
      </c>
      <c r="G17" s="2"/>
      <c r="H17" s="21" t="s">
        <v>60</v>
      </c>
      <c r="I17" s="21"/>
      <c r="J17" s="21"/>
      <c r="K17" s="21"/>
      <c r="L17" s="88">
        <v>0.1</v>
      </c>
    </row>
    <row r="18" spans="2:21" x14ac:dyDescent="0.2">
      <c r="B18" s="4" t="s">
        <v>161</v>
      </c>
      <c r="F18" s="41">
        <v>96</v>
      </c>
      <c r="H18" s="4" t="s">
        <v>227</v>
      </c>
      <c r="L18" s="43">
        <v>1.75</v>
      </c>
    </row>
    <row r="19" spans="2:21" x14ac:dyDescent="0.2">
      <c r="B19" s="4" t="s">
        <v>163</v>
      </c>
      <c r="F19" s="73">
        <f>F15/IF(F12=1,Introduction!F104,IF(F12=2,Introduction!L100,"NA"))</f>
        <v>0</v>
      </c>
      <c r="H19" s="4" t="s">
        <v>186</v>
      </c>
      <c r="L19" s="74">
        <f>F43*L18</f>
        <v>295.57023164814717</v>
      </c>
    </row>
    <row r="20" spans="2:21" x14ac:dyDescent="0.2">
      <c r="B20" s="4" t="s">
        <v>164</v>
      </c>
      <c r="F20" s="42">
        <v>30000</v>
      </c>
      <c r="H20" s="4" t="s">
        <v>188</v>
      </c>
      <c r="L20" s="43">
        <v>2</v>
      </c>
    </row>
    <row r="21" spans="2:21" x14ac:dyDescent="0.2">
      <c r="B21" s="4" t="s">
        <v>165</v>
      </c>
      <c r="F21" s="42">
        <v>30000</v>
      </c>
      <c r="G21" s="90"/>
      <c r="H21" s="4" t="s">
        <v>196</v>
      </c>
      <c r="L21" s="61">
        <v>13</v>
      </c>
    </row>
    <row r="22" spans="2:21" x14ac:dyDescent="0.2">
      <c r="B22" s="4" t="s">
        <v>166</v>
      </c>
      <c r="F22" s="42">
        <v>12000</v>
      </c>
      <c r="G22" s="84"/>
      <c r="H22" s="83" t="s">
        <v>228</v>
      </c>
    </row>
    <row r="23" spans="2:21" x14ac:dyDescent="0.2">
      <c r="B23" s="4" t="s">
        <v>167</v>
      </c>
      <c r="E23" s="7"/>
      <c r="F23" s="57">
        <f>F21/EXP(G9*F14+H9*F19)</f>
        <v>30000</v>
      </c>
      <c r="G23" s="84"/>
      <c r="H23" s="4" t="s">
        <v>262</v>
      </c>
      <c r="L23" s="44">
        <v>0.05</v>
      </c>
      <c r="M23" s="11"/>
    </row>
    <row r="24" spans="2:21" x14ac:dyDescent="0.2">
      <c r="B24" s="4" t="s">
        <v>168</v>
      </c>
      <c r="F24" s="41">
        <v>3</v>
      </c>
      <c r="G24" s="85"/>
      <c r="H24" s="4" t="s">
        <v>229</v>
      </c>
      <c r="L24" s="10">
        <f>L23*(1-L25-L26)</f>
        <v>3.2350000000000004E-2</v>
      </c>
      <c r="U24" s="11"/>
    </row>
    <row r="25" spans="2:21" x14ac:dyDescent="0.2">
      <c r="B25" s="83" t="s">
        <v>153</v>
      </c>
      <c r="D25" s="81"/>
      <c r="G25" s="84"/>
      <c r="H25" s="4" t="s">
        <v>263</v>
      </c>
      <c r="L25" s="45">
        <v>0.2</v>
      </c>
      <c r="U25" s="11"/>
    </row>
    <row r="26" spans="2:21" x14ac:dyDescent="0.2">
      <c r="B26" s="4" t="s">
        <v>169</v>
      </c>
      <c r="F26" s="76">
        <f>IF(F12=2,F16/12*F17/12*F18/12,IF(F12=1,PI()*(F17/12/2)^2*F16/12,"NA"))</f>
        <v>141.37166941154069</v>
      </c>
      <c r="G26" s="84"/>
      <c r="H26" s="4" t="s">
        <v>230</v>
      </c>
      <c r="L26" s="46">
        <v>0.153</v>
      </c>
      <c r="M26" s="11"/>
      <c r="U26" s="11"/>
    </row>
    <row r="27" spans="2:21" x14ac:dyDescent="0.2">
      <c r="B27" s="4" t="s">
        <v>170</v>
      </c>
      <c r="F27" s="76">
        <f>IF(F12=1,Introduction!G86,IF(F12=2,Introduction!G87,"NA"))</f>
        <v>12.025040144720981</v>
      </c>
      <c r="H27" s="4" t="s">
        <v>331</v>
      </c>
      <c r="L27" s="23">
        <v>500000</v>
      </c>
      <c r="M27" s="11"/>
      <c r="U27" s="11"/>
    </row>
    <row r="28" spans="2:21" x14ac:dyDescent="0.2">
      <c r="B28" s="4" t="s">
        <v>171</v>
      </c>
      <c r="F28" s="43">
        <f>F27</f>
        <v>12.025040144720981</v>
      </c>
      <c r="H28" s="4" t="s">
        <v>231</v>
      </c>
      <c r="L28" s="42">
        <v>0</v>
      </c>
      <c r="M28" s="11"/>
    </row>
    <row r="29" spans="2:21" x14ac:dyDescent="0.2">
      <c r="B29" s="4" t="s">
        <v>172</v>
      </c>
      <c r="F29" s="41">
        <v>72</v>
      </c>
      <c r="H29" s="4" t="s">
        <v>264</v>
      </c>
      <c r="L29" s="45">
        <v>0.5</v>
      </c>
      <c r="M29" s="11"/>
    </row>
    <row r="30" spans="2:21" x14ac:dyDescent="0.2">
      <c r="B30" s="4" t="s">
        <v>173</v>
      </c>
      <c r="F30" s="41">
        <v>96</v>
      </c>
      <c r="H30" s="4" t="s">
        <v>232</v>
      </c>
      <c r="L30" s="41">
        <v>0</v>
      </c>
      <c r="M30" s="11"/>
    </row>
    <row r="31" spans="2:21" x14ac:dyDescent="0.2">
      <c r="B31" s="4" t="s">
        <v>174</v>
      </c>
      <c r="F31" s="76">
        <f>IF(F12=2,F16/12*F17/12*F30/12,IF(F12=1,PI()*(F29/12/2)^2*F16/12,"NA"))</f>
        <v>141.37166941154069</v>
      </c>
      <c r="H31" s="4" t="s">
        <v>233</v>
      </c>
      <c r="L31" s="40">
        <f>IF(AND(F14=0,L30=1),(F20-MIN(F20,MIN(L27,L28)))*L29,0)</f>
        <v>0</v>
      </c>
      <c r="M31" s="11"/>
    </row>
    <row r="32" spans="2:21" x14ac:dyDescent="0.2">
      <c r="B32" s="4" t="s">
        <v>175</v>
      </c>
      <c r="F32" s="73">
        <f>F31*F28</f>
        <v>1700</v>
      </c>
      <c r="H32" s="4" t="s">
        <v>234</v>
      </c>
      <c r="L32" s="23">
        <f>F20-MIN(F20,MIN(L27,L28))-L31</f>
        <v>30000</v>
      </c>
      <c r="M32" s="11"/>
    </row>
    <row r="33" spans="1:21" x14ac:dyDescent="0.2">
      <c r="B33" s="83" t="s">
        <v>154</v>
      </c>
      <c r="D33" s="81"/>
      <c r="H33" s="4" t="s">
        <v>235</v>
      </c>
      <c r="L33" s="44">
        <v>0.1429</v>
      </c>
      <c r="M33" s="11"/>
    </row>
    <row r="34" spans="1:21" x14ac:dyDescent="0.2">
      <c r="B34" s="4" t="s">
        <v>176</v>
      </c>
      <c r="F34" s="41">
        <v>6.5</v>
      </c>
      <c r="G34" s="7"/>
      <c r="H34" s="4" t="s">
        <v>236</v>
      </c>
      <c r="L34" s="44">
        <v>0.24490000000000001</v>
      </c>
      <c r="M34" s="11"/>
      <c r="U34" s="11"/>
    </row>
    <row r="35" spans="1:21" x14ac:dyDescent="0.2">
      <c r="B35" s="4" t="s">
        <v>177</v>
      </c>
      <c r="F35" s="41">
        <v>29</v>
      </c>
      <c r="H35" s="4" t="s">
        <v>237</v>
      </c>
      <c r="L35" s="44">
        <v>0.1749</v>
      </c>
      <c r="M35" s="11"/>
      <c r="U35" s="11"/>
    </row>
    <row r="36" spans="1:21" x14ac:dyDescent="0.2">
      <c r="B36" s="4" t="s">
        <v>178</v>
      </c>
      <c r="F36" s="41">
        <v>1.2</v>
      </c>
      <c r="H36" s="4" t="s">
        <v>238</v>
      </c>
      <c r="L36" s="44">
        <v>0.1249</v>
      </c>
      <c r="M36" s="11"/>
      <c r="U36" s="11"/>
    </row>
    <row r="37" spans="1:21" x14ac:dyDescent="0.2">
      <c r="B37" s="4" t="s">
        <v>284</v>
      </c>
      <c r="F37" s="74">
        <f>F36*2000/F32</f>
        <v>1.411764705882353</v>
      </c>
      <c r="H37" s="4" t="s">
        <v>239</v>
      </c>
      <c r="L37" s="44">
        <v>8.9300000000000004E-2</v>
      </c>
      <c r="M37" s="11"/>
      <c r="U37" s="11"/>
    </row>
    <row r="38" spans="1:21" x14ac:dyDescent="0.2">
      <c r="B38" s="4" t="s">
        <v>195</v>
      </c>
      <c r="F38" s="74">
        <f>IF(F$12=1,F$13*L73+(1-F$13)*L65,IF(F$12=2,F68,"NA"))</f>
        <v>29.603793153351717</v>
      </c>
      <c r="H38" s="4" t="s">
        <v>240</v>
      </c>
      <c r="L38" s="44">
        <v>8.9200000000000002E-2</v>
      </c>
      <c r="U38" s="11"/>
    </row>
    <row r="39" spans="1:21" x14ac:dyDescent="0.2">
      <c r="B39" s="4" t="s">
        <v>179</v>
      </c>
      <c r="F39" s="74">
        <f>IF(F$12=1,F$13*L74+(1-F$13)*L66,IF(F$12=2,F69,"NA"))</f>
        <v>20.969353483624133</v>
      </c>
      <c r="H39" s="4" t="s">
        <v>241</v>
      </c>
      <c r="L39" s="44">
        <v>8.9300000000000004E-2</v>
      </c>
      <c r="M39" s="100" t="str">
        <f>IF(OR(L41&gt;1.01,L41&lt;0.99),"&lt;= Error!"," ")</f>
        <v xml:space="preserve"> </v>
      </c>
      <c r="U39" s="11"/>
    </row>
    <row r="40" spans="1:21" x14ac:dyDescent="0.2">
      <c r="B40" s="4" t="s">
        <v>180</v>
      </c>
      <c r="F40" s="74">
        <f>IF(F$12=1,F$13*L75+(1-F$13)*L67,IF(F$12=2,F70,"NA"))</f>
        <v>25.163224180348958</v>
      </c>
      <c r="H40" s="4" t="s">
        <v>242</v>
      </c>
      <c r="L40" s="44">
        <v>4.4600000000000001E-2</v>
      </c>
      <c r="M40" s="11"/>
      <c r="U40" s="11"/>
    </row>
    <row r="41" spans="1:21" x14ac:dyDescent="0.2">
      <c r="B41" s="4" t="s">
        <v>181</v>
      </c>
      <c r="F41" s="41">
        <v>5000</v>
      </c>
      <c r="H41" s="4" t="s">
        <v>243</v>
      </c>
      <c r="L41" s="10">
        <f>SUM(L33:L40)</f>
        <v>1.0000000000000002</v>
      </c>
      <c r="M41" s="11"/>
      <c r="U41" s="11"/>
    </row>
    <row r="42" spans="1:21" x14ac:dyDescent="0.2">
      <c r="B42" s="4" t="s">
        <v>182</v>
      </c>
      <c r="F42" s="73">
        <f>F41/F37</f>
        <v>3541.6666666666665</v>
      </c>
      <c r="H42" s="49" t="str">
        <f>IF(OR(L41&gt;1.01,L41&lt;0.99),"Total depreciation rate should add to 100%!"," ")</f>
        <v xml:space="preserve"> </v>
      </c>
      <c r="I42" s="50"/>
      <c r="J42" s="50"/>
      <c r="K42" s="54"/>
      <c r="L42" s="51"/>
      <c r="M42" s="11"/>
      <c r="U42" s="11"/>
    </row>
    <row r="43" spans="1:21" x14ac:dyDescent="0.2">
      <c r="B43" s="4" t="s">
        <v>183</v>
      </c>
      <c r="F43" s="74">
        <f>F41/F38</f>
        <v>168.89727522751267</v>
      </c>
      <c r="H43" s="4" t="s">
        <v>246</v>
      </c>
      <c r="L43" s="25">
        <f>'Time and Tax (TT)'!U4</f>
        <v>7737.3249746155079</v>
      </c>
      <c r="M43" s="11"/>
      <c r="U43" s="11"/>
    </row>
    <row r="44" spans="1:21" x14ac:dyDescent="0.2">
      <c r="B44" s="75" t="s">
        <v>253</v>
      </c>
      <c r="H44" s="4" t="s">
        <v>247</v>
      </c>
      <c r="L44" s="25">
        <f>F49*L43</f>
        <v>2747.7472385912156</v>
      </c>
      <c r="M44" s="11"/>
      <c r="U44" s="11"/>
    </row>
    <row r="45" spans="1:21" x14ac:dyDescent="0.2">
      <c r="B45" s="4" t="s">
        <v>260</v>
      </c>
      <c r="F45" s="46">
        <v>0.01</v>
      </c>
      <c r="H45" s="4" t="s">
        <v>248</v>
      </c>
      <c r="L45" s="25">
        <f>L44/(1-L25-L26)</f>
        <v>4246.9045418720489</v>
      </c>
      <c r="M45" s="11"/>
      <c r="U45" s="11"/>
    </row>
    <row r="46" spans="1:21" x14ac:dyDescent="0.2">
      <c r="A46" s="11"/>
      <c r="B46" s="4" t="s">
        <v>254</v>
      </c>
      <c r="E46" s="7"/>
      <c r="F46" s="45">
        <v>0.05</v>
      </c>
      <c r="H46" s="4" t="s">
        <v>249</v>
      </c>
      <c r="L46" s="25">
        <f>L45*'Time and Tax (TT)'!G7</f>
        <v>1243.8269696294522</v>
      </c>
      <c r="M46" s="11"/>
      <c r="U46" s="11"/>
    </row>
    <row r="47" spans="1:21" x14ac:dyDescent="0.2">
      <c r="A47" s="11"/>
      <c r="B47" s="4" t="s">
        <v>294</v>
      </c>
      <c r="F47" s="43">
        <v>1</v>
      </c>
      <c r="H47" s="4" t="s">
        <v>250</v>
      </c>
      <c r="L47" s="25">
        <f>L45*'Time and Tax (TT)'!H7</f>
        <v>1198.4542910971716</v>
      </c>
      <c r="M47" s="11"/>
      <c r="U47" s="11"/>
    </row>
    <row r="48" spans="1:21" x14ac:dyDescent="0.2">
      <c r="B48" s="4" t="s">
        <v>261</v>
      </c>
      <c r="F48" s="44">
        <v>1.4999999999999999E-2</v>
      </c>
      <c r="H48" s="4" t="s">
        <v>251</v>
      </c>
      <c r="L48" s="25">
        <f>L45*'Time and Tax (TT)'!Q7</f>
        <v>1431.4751902565904</v>
      </c>
    </row>
    <row r="49" spans="1:18" x14ac:dyDescent="0.2">
      <c r="B49" s="4" t="s">
        <v>244</v>
      </c>
      <c r="F49" s="9">
        <f>L24/(1-(1+L24)^-F24)</f>
        <v>0.35512883943817541</v>
      </c>
      <c r="H49" s="21" t="s">
        <v>252</v>
      </c>
      <c r="I49" s="21"/>
      <c r="J49" s="21"/>
      <c r="K49" s="21"/>
      <c r="L49" s="89">
        <f>L45*'Time and Tax (TT)'!O7</f>
        <v>373.14809088883567</v>
      </c>
    </row>
    <row r="50" spans="1:18" x14ac:dyDescent="0.2">
      <c r="B50" s="21" t="s">
        <v>245</v>
      </c>
      <c r="C50" s="21"/>
      <c r="D50" s="21"/>
      <c r="E50" s="21"/>
      <c r="F50" s="87">
        <f>1/(1+L24)</f>
        <v>0.96866372838669046</v>
      </c>
    </row>
    <row r="51" spans="1:18" ht="13.5" thickBot="1" x14ac:dyDescent="0.25">
      <c r="A51" s="11"/>
      <c r="B51" s="37"/>
      <c r="C51" s="37"/>
      <c r="D51" s="37"/>
      <c r="E51" s="37"/>
      <c r="F51" s="37"/>
      <c r="G51" s="37"/>
      <c r="H51" s="37"/>
      <c r="I51" s="37"/>
      <c r="J51" s="37"/>
      <c r="K51" s="37"/>
      <c r="L51" s="37"/>
    </row>
    <row r="53" spans="1:18" x14ac:dyDescent="0.2">
      <c r="A53" s="11"/>
    </row>
    <row r="54" spans="1:18" ht="13.5" thickBot="1" x14ac:dyDescent="0.25">
      <c r="A54" s="11"/>
      <c r="B54" s="99" t="s">
        <v>255</v>
      </c>
      <c r="C54" s="12"/>
      <c r="D54" s="12"/>
      <c r="E54" s="12"/>
      <c r="F54" s="12"/>
      <c r="G54" s="12"/>
      <c r="H54" s="12"/>
      <c r="I54" s="12"/>
      <c r="J54" s="12"/>
      <c r="K54" s="12"/>
      <c r="L54" s="12"/>
    </row>
    <row r="55" spans="1:18" x14ac:dyDescent="0.2">
      <c r="B55" s="75"/>
      <c r="R55" s="101"/>
    </row>
    <row r="56" spans="1:18" x14ac:dyDescent="0.2">
      <c r="B56" s="83" t="s">
        <v>155</v>
      </c>
      <c r="D56" s="81"/>
    </row>
    <row r="57" spans="1:18" x14ac:dyDescent="0.2">
      <c r="B57" s="4" t="s">
        <v>288</v>
      </c>
      <c r="F57" s="61">
        <v>26</v>
      </c>
      <c r="H57" s="75" t="s">
        <v>286</v>
      </c>
    </row>
    <row r="58" spans="1:18" x14ac:dyDescent="0.2">
      <c r="B58" s="4" t="s">
        <v>289</v>
      </c>
      <c r="F58" s="61">
        <v>23</v>
      </c>
      <c r="H58" s="4" t="s">
        <v>200</v>
      </c>
      <c r="L58" s="41">
        <v>5</v>
      </c>
      <c r="M58" s="11"/>
    </row>
    <row r="59" spans="1:18" x14ac:dyDescent="0.2">
      <c r="B59" s="4" t="s">
        <v>290</v>
      </c>
      <c r="F59" s="61">
        <v>210</v>
      </c>
      <c r="H59" s="4" t="s">
        <v>201</v>
      </c>
      <c r="L59" s="41">
        <v>4</v>
      </c>
    </row>
    <row r="60" spans="1:18" x14ac:dyDescent="0.2">
      <c r="B60" s="4" t="s">
        <v>184</v>
      </c>
      <c r="F60" s="82">
        <f>IF(F$12=1,F$13*F59+(1-F$13)*F58,IF(F$12=2,F57,"NA"))/IF(F$12=1,F$13*L70+(1-F$13)*L62,IF(F$12=2,F66,"NA"))</f>
        <v>1.4702653618800232</v>
      </c>
      <c r="H60" s="4" t="s">
        <v>202</v>
      </c>
      <c r="L60" s="41">
        <v>4</v>
      </c>
    </row>
    <row r="61" spans="1:18" x14ac:dyDescent="0.2">
      <c r="G61" s="2"/>
      <c r="H61" s="4" t="s">
        <v>203</v>
      </c>
      <c r="L61" s="102">
        <f>IF(F12=1,(F16-L59*2)/L58+1+L60*2,"N/A")</f>
        <v>19.399999999999999</v>
      </c>
    </row>
    <row r="62" spans="1:18" x14ac:dyDescent="0.2">
      <c r="B62" s="75" t="s">
        <v>291</v>
      </c>
      <c r="G62" s="2"/>
      <c r="H62" s="4" t="s">
        <v>204</v>
      </c>
      <c r="L62" s="102">
        <f>IF(F12=1,20000/(PI()*F29/12*L61),"N/A")</f>
        <v>54.692420306493247</v>
      </c>
    </row>
    <row r="63" spans="1:18" x14ac:dyDescent="0.2">
      <c r="B63" s="4" t="s">
        <v>191</v>
      </c>
      <c r="F63" s="41">
        <v>6</v>
      </c>
      <c r="H63" s="4" t="s">
        <v>205</v>
      </c>
      <c r="L63" s="102">
        <f>IF(F12=1,F74/2*L61+F75,"N/A")</f>
        <v>29.120098919846562</v>
      </c>
    </row>
    <row r="64" spans="1:18" x14ac:dyDescent="0.2">
      <c r="B64" s="4" t="s">
        <v>192</v>
      </c>
      <c r="F64" s="41">
        <v>6</v>
      </c>
      <c r="H64" s="4" t="s">
        <v>206</v>
      </c>
      <c r="I64" s="2"/>
      <c r="J64" s="2"/>
      <c r="K64" s="2"/>
      <c r="L64" s="102">
        <f>IF(F12=1,60/(F34*F35*5280/43560*F37)+L63/60,"N/A")</f>
        <v>2.3454145575942595</v>
      </c>
    </row>
    <row r="65" spans="1:12" x14ac:dyDescent="0.2">
      <c r="B65" s="4" t="s">
        <v>193</v>
      </c>
      <c r="F65" s="6" t="str">
        <f>IF(F12=2,(F17*2+F30*2+F64)*F63/12,"N/A")</f>
        <v>N/A</v>
      </c>
      <c r="H65" s="4" t="s">
        <v>195</v>
      </c>
      <c r="I65" s="2"/>
      <c r="J65" s="2"/>
      <c r="K65" s="2"/>
      <c r="L65" s="103">
        <f>IF(F12=1,60/L64,"N/A")</f>
        <v>25.581831495726387</v>
      </c>
    </row>
    <row r="66" spans="1:12" x14ac:dyDescent="0.2">
      <c r="B66" s="4" t="s">
        <v>194</v>
      </c>
      <c r="F66" s="102" t="str">
        <f>IF(F12=2,4000/F65,"N/A")</f>
        <v>N/A</v>
      </c>
      <c r="H66" s="4" t="s">
        <v>179</v>
      </c>
      <c r="I66" s="2"/>
      <c r="J66" s="2"/>
      <c r="K66" s="2"/>
      <c r="L66" s="103">
        <f>IF(F12=1,L65/F37,"N/A")</f>
        <v>18.120463976139522</v>
      </c>
    </row>
    <row r="67" spans="1:12" x14ac:dyDescent="0.2">
      <c r="B67" s="4" t="s">
        <v>190</v>
      </c>
      <c r="F67" s="102" t="str">
        <f>IF(F12=2,60/F68,"N/A")</f>
        <v>N/A</v>
      </c>
      <c r="H67" s="4" t="s">
        <v>180</v>
      </c>
      <c r="I67" s="2"/>
      <c r="J67" s="2"/>
      <c r="K67" s="2"/>
      <c r="L67" s="103">
        <f>IF(F12=1,F32*L65/2000,"N/A")</f>
        <v>21.744556771367428</v>
      </c>
    </row>
    <row r="68" spans="1:12" x14ac:dyDescent="0.2">
      <c r="B68" s="4" t="s">
        <v>195</v>
      </c>
      <c r="F68" s="102" t="str">
        <f>IF(F12=2,F69*F37,"N/A")</f>
        <v>N/A</v>
      </c>
      <c r="H68" s="75" t="s">
        <v>287</v>
      </c>
    </row>
    <row r="69" spans="1:12" x14ac:dyDescent="0.2">
      <c r="B69" s="4" t="s">
        <v>179</v>
      </c>
      <c r="F69" s="102" t="str">
        <f>IF(F12=2,F34*F35*5280/43560,"N/A")</f>
        <v>N/A</v>
      </c>
      <c r="H69" s="4" t="s">
        <v>207</v>
      </c>
      <c r="L69" s="41">
        <v>2.6</v>
      </c>
    </row>
    <row r="70" spans="1:12" x14ac:dyDescent="0.2">
      <c r="B70" s="4" t="s">
        <v>180</v>
      </c>
      <c r="C70" s="2"/>
      <c r="D70" s="2"/>
      <c r="E70" s="2"/>
      <c r="F70" s="102" t="str">
        <f>IF(F12=2,F32*F68/2000,"N/A")</f>
        <v>N/A</v>
      </c>
      <c r="H70" s="4" t="s">
        <v>208</v>
      </c>
      <c r="L70" s="102">
        <f>IF(F12=1,7000/(PI()*F29/12*L69),"N/A")</f>
        <v>142.83135918503427</v>
      </c>
    </row>
    <row r="71" spans="1:12" x14ac:dyDescent="0.2">
      <c r="H71" s="4" t="s">
        <v>209</v>
      </c>
      <c r="L71" s="102">
        <f>IF(F12=1,F74*L69+F75,"N/A")</f>
        <v>10.00126362800011</v>
      </c>
    </row>
    <row r="72" spans="1:12" x14ac:dyDescent="0.2">
      <c r="B72" s="75" t="s">
        <v>292</v>
      </c>
      <c r="G72" s="2"/>
      <c r="H72" s="4" t="s">
        <v>210</v>
      </c>
      <c r="I72" s="2"/>
      <c r="J72" s="2"/>
      <c r="K72" s="2"/>
      <c r="L72" s="102">
        <f>IF(F12=1,60/(F34*F35*5280/43560*F37)+L71/60,"N/A")</f>
        <v>2.026767302730152</v>
      </c>
    </row>
    <row r="73" spans="1:12" x14ac:dyDescent="0.2">
      <c r="B73" s="4" t="s">
        <v>197</v>
      </c>
      <c r="F73" s="41">
        <v>420</v>
      </c>
      <c r="H73" s="4" t="s">
        <v>195</v>
      </c>
      <c r="I73" s="2"/>
      <c r="J73" s="2"/>
      <c r="K73" s="2"/>
      <c r="L73" s="103">
        <f>IF(F12=1,60/L72,"N/A")</f>
        <v>29.603793153351717</v>
      </c>
    </row>
    <row r="74" spans="1:12" x14ac:dyDescent="0.2">
      <c r="B74" s="4" t="s">
        <v>198</v>
      </c>
      <c r="F74" s="102">
        <f>IF(F12=1,PI()*F29/12*60/F73,"N/A")</f>
        <v>2.6927937030769655</v>
      </c>
      <c r="H74" s="4" t="s">
        <v>179</v>
      </c>
      <c r="I74" s="11"/>
      <c r="J74" s="11"/>
      <c r="K74" s="11"/>
      <c r="L74" s="103">
        <f>IF(F12=1,L73/F37,"N/A")</f>
        <v>20.969353483624133</v>
      </c>
    </row>
    <row r="75" spans="1:12" ht="13.5" thickBot="1" x14ac:dyDescent="0.25">
      <c r="A75" s="11"/>
      <c r="B75" s="37" t="s">
        <v>199</v>
      </c>
      <c r="C75" s="37"/>
      <c r="D75" s="37"/>
      <c r="E75" s="37"/>
      <c r="F75" s="107">
        <v>3</v>
      </c>
      <c r="G75" s="37"/>
      <c r="H75" s="37" t="s">
        <v>180</v>
      </c>
      <c r="I75" s="108"/>
      <c r="J75" s="108"/>
      <c r="K75" s="108"/>
      <c r="L75" s="109">
        <f>IF(F12=1,F32*L73/2000,"N/A")</f>
        <v>25.163224180348958</v>
      </c>
    </row>
    <row r="76" spans="1:12" x14ac:dyDescent="0.2">
      <c r="A76" s="11"/>
      <c r="B76" s="21"/>
      <c r="C76" s="21"/>
      <c r="D76" s="21"/>
      <c r="E76" s="21"/>
      <c r="F76" s="21"/>
      <c r="G76" s="11"/>
      <c r="H76" s="21"/>
      <c r="I76" s="21"/>
      <c r="J76" s="21"/>
      <c r="K76" s="21"/>
      <c r="L76" s="21"/>
    </row>
    <row r="77" spans="1:12" x14ac:dyDescent="0.2">
      <c r="A77" s="11"/>
      <c r="G77" s="11"/>
    </row>
    <row r="78" spans="1:12" x14ac:dyDescent="0.2">
      <c r="A78" s="11"/>
      <c r="B78" s="71"/>
      <c r="C78" s="71"/>
      <c r="D78" s="71"/>
      <c r="E78" s="71"/>
      <c r="F78" s="110"/>
      <c r="G78" s="71"/>
      <c r="H78" s="71"/>
    </row>
    <row r="79" spans="1:12" x14ac:dyDescent="0.2">
      <c r="A79" s="11"/>
      <c r="B79" s="71"/>
      <c r="C79" s="67"/>
      <c r="D79" s="67"/>
      <c r="E79" s="67"/>
      <c r="F79" s="67"/>
      <c r="G79" s="71"/>
      <c r="H79" s="71"/>
    </row>
    <row r="80" spans="1:12" x14ac:dyDescent="0.2">
      <c r="A80" s="11"/>
      <c r="B80" s="71"/>
      <c r="C80" s="71"/>
      <c r="D80" s="71"/>
      <c r="E80" s="71"/>
      <c r="F80" s="111"/>
      <c r="G80" s="71"/>
      <c r="H80" s="71"/>
    </row>
    <row r="81" spans="1:10" x14ac:dyDescent="0.2">
      <c r="A81" s="11"/>
      <c r="B81" s="71"/>
      <c r="C81" s="71"/>
      <c r="D81" s="71"/>
      <c r="E81" s="71"/>
      <c r="F81" s="111"/>
      <c r="G81" s="71"/>
      <c r="H81" s="71"/>
    </row>
    <row r="82" spans="1:10" x14ac:dyDescent="0.2">
      <c r="A82" s="11"/>
      <c r="B82" s="71"/>
      <c r="C82" s="71"/>
      <c r="D82" s="71"/>
      <c r="E82" s="71"/>
      <c r="F82" s="111"/>
      <c r="G82" s="67"/>
      <c r="H82" s="71"/>
    </row>
    <row r="83" spans="1:10" x14ac:dyDescent="0.2">
      <c r="A83" s="11"/>
      <c r="B83" s="71"/>
      <c r="C83" s="71"/>
      <c r="D83" s="71"/>
      <c r="E83" s="71"/>
      <c r="F83" s="71"/>
      <c r="G83" s="67"/>
      <c r="H83" s="71"/>
    </row>
    <row r="84" spans="1:10" x14ac:dyDescent="0.2">
      <c r="A84" s="11"/>
      <c r="B84" s="71"/>
      <c r="C84" s="71"/>
      <c r="D84" s="71"/>
      <c r="E84" s="71"/>
      <c r="F84" s="71"/>
      <c r="G84" s="67"/>
      <c r="H84" s="71"/>
    </row>
    <row r="92" spans="1:10" x14ac:dyDescent="0.2">
      <c r="E92" s="21"/>
      <c r="F92" s="21"/>
      <c r="G92" s="11"/>
      <c r="H92" s="21"/>
      <c r="I92" s="21"/>
      <c r="J92" s="21"/>
    </row>
    <row r="93" spans="1:10" x14ac:dyDescent="0.2">
      <c r="E93" s="21"/>
      <c r="F93" s="21"/>
      <c r="G93" s="11"/>
      <c r="H93" s="21"/>
      <c r="I93" s="21"/>
      <c r="J93" s="21"/>
    </row>
    <row r="94" spans="1:10" x14ac:dyDescent="0.2">
      <c r="E94" s="21"/>
      <c r="F94" s="21"/>
      <c r="G94" s="21"/>
      <c r="H94" s="21"/>
      <c r="I94" s="21"/>
      <c r="J94" s="21"/>
    </row>
    <row r="95" spans="1:10" x14ac:dyDescent="0.2">
      <c r="E95" s="21"/>
      <c r="F95" s="21"/>
      <c r="G95" s="21"/>
      <c r="H95" s="21"/>
      <c r="I95" s="21"/>
      <c r="J95" s="21"/>
    </row>
  </sheetData>
  <sheetProtection algorithmName="SHA-512" hashValue="68HfxXrObgY1zUNN5FTcdtlTO2+BIzatkAjENr2KaWKGok4Hn93t8PwbcK10pdl2t1ZZitp0sGVGsnYE1+DTQA==" saltValue="BkrBDi9Nt9r6tywzeAC1lw==" spinCount="100000" sheet="1" objects="1" scenarios="1"/>
  <mergeCells count="1">
    <mergeCell ref="B6:C6"/>
  </mergeCells>
  <phoneticPr fontId="0" type="noConversion"/>
  <pageMargins left="0.75" right="0.75" top="0.75" bottom="0.5" header="0" footer="0.5"/>
  <pageSetup scale="42" orientation="portrait" r:id="rId1"/>
  <headerFooter alignWithMargins="0">
    <oddFooter>&amp;C&amp;10OwnBaler.xls -- Developed by Kevin Dhuyvetter and Terry Kastens
Extension Agricultural Economists, Kansas State University&amp;R&amp;10User input page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6" r:id="rId4" name="Button 18">
              <controlPr defaultSize="0" print="0" autoFill="0" autoPict="0" macro="[0]!Print1">
                <anchor moveWithCells="1" sizeWithCells="1">
                  <from>
                    <xdr:col>11</xdr:col>
                    <xdr:colOff>47625</xdr:colOff>
                    <xdr:row>1</xdr:row>
                    <xdr:rowOff>66675</xdr:rowOff>
                  </from>
                  <to>
                    <xdr:col>11</xdr:col>
                    <xdr:colOff>800100</xdr:colOff>
                    <xdr:row>2</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2:X37"/>
  <sheetViews>
    <sheetView zoomScale="87" workbookViewId="0"/>
  </sheetViews>
  <sheetFormatPr defaultRowHeight="12.75" x14ac:dyDescent="0.2"/>
  <cols>
    <col min="1" max="1" width="2.77734375" style="2" customWidth="1"/>
    <col min="2" max="2" width="4.77734375" style="2" customWidth="1"/>
    <col min="3" max="20" width="7.77734375" style="2" customWidth="1"/>
    <col min="21" max="21" width="8.77734375" style="2" customWidth="1"/>
    <col min="22" max="22" width="4.77734375" style="2" customWidth="1"/>
    <col min="23" max="16384" width="8.88671875" style="2"/>
  </cols>
  <sheetData>
    <row r="2" spans="1:24" ht="14.1" customHeight="1" thickBot="1" x14ac:dyDescent="0.25">
      <c r="A2" s="11"/>
      <c r="B2" s="12" t="s">
        <v>0</v>
      </c>
      <c r="C2" s="13"/>
      <c r="D2" s="13"/>
      <c r="E2" s="13"/>
      <c r="F2" s="13"/>
      <c r="G2" s="13"/>
      <c r="H2" s="13"/>
      <c r="I2" s="13"/>
      <c r="J2" s="13"/>
      <c r="K2" s="13"/>
      <c r="L2" s="13"/>
      <c r="M2" s="13"/>
      <c r="N2" s="13"/>
      <c r="O2" s="12"/>
      <c r="P2" s="13"/>
      <c r="Q2" s="13"/>
      <c r="R2" s="14"/>
      <c r="S2" s="14"/>
      <c r="T2" s="14"/>
      <c r="U2" s="14"/>
      <c r="V2" s="14"/>
    </row>
    <row r="3" spans="1:24" ht="14.1" customHeight="1" x14ac:dyDescent="0.2">
      <c r="A3" s="11"/>
      <c r="B3" s="21"/>
      <c r="C3" s="22"/>
      <c r="D3" s="22"/>
      <c r="E3" s="22"/>
      <c r="F3" s="22"/>
      <c r="G3" s="22"/>
      <c r="H3" s="22"/>
      <c r="I3" s="22"/>
      <c r="J3" s="22"/>
      <c r="K3" s="22"/>
      <c r="L3" s="22"/>
      <c r="M3" s="22"/>
      <c r="N3" s="22"/>
      <c r="O3" s="21"/>
      <c r="P3" s="22"/>
      <c r="Q3" s="22"/>
      <c r="R3" s="11"/>
      <c r="S3" s="11"/>
      <c r="T3" s="11"/>
      <c r="U3" s="11"/>
      <c r="V3" s="11"/>
    </row>
    <row r="4" spans="1:24" x14ac:dyDescent="0.2">
      <c r="B4" s="4"/>
      <c r="C4" s="5"/>
      <c r="D4" s="5"/>
      <c r="E4" s="5"/>
      <c r="F4" s="5"/>
      <c r="G4" s="5"/>
      <c r="H4" s="5"/>
      <c r="I4" s="5"/>
      <c r="J4" s="5"/>
      <c r="K4" s="5"/>
      <c r="L4" s="86"/>
      <c r="M4" s="5"/>
      <c r="N4" s="5"/>
      <c r="O4" s="4"/>
      <c r="P4" s="5"/>
      <c r="Q4" s="5"/>
      <c r="R4" s="5"/>
      <c r="S4" s="5"/>
      <c r="T4" s="6" t="s">
        <v>37</v>
      </c>
      <c r="U4" s="23">
        <f>SUM(U12:U32)</f>
        <v>7737.3249746155079</v>
      </c>
    </row>
    <row r="5" spans="1:24" x14ac:dyDescent="0.2">
      <c r="B5" s="4"/>
      <c r="C5" s="5"/>
      <c r="D5" s="5"/>
      <c r="E5" s="5"/>
      <c r="F5" s="5"/>
      <c r="G5" s="5"/>
      <c r="H5" s="5"/>
      <c r="I5" s="18"/>
      <c r="J5" s="18"/>
      <c r="K5" s="18"/>
      <c r="L5" s="5"/>
      <c r="M5" s="5"/>
      <c r="N5" s="5"/>
      <c r="O5" s="4"/>
      <c r="P5" s="5"/>
      <c r="Q5" s="5"/>
      <c r="R5" s="5"/>
      <c r="S5" s="5"/>
      <c r="T5" s="6"/>
      <c r="U5" s="7"/>
    </row>
    <row r="6" spans="1:24" x14ac:dyDescent="0.2">
      <c r="B6" s="4"/>
      <c r="C6" s="4"/>
      <c r="D6" s="4"/>
      <c r="E6" s="4"/>
      <c r="F6" s="6" t="s">
        <v>38</v>
      </c>
      <c r="G6" s="25">
        <f>SUMPRODUCT($C12:$C32,G12:G32)*(1-'User input'!$L25-'User input'!$L26)</f>
        <v>2605.9961005561586</v>
      </c>
      <c r="H6" s="25">
        <f>SUMPRODUCT($C12:$C32,H12:H32)*(1-'User input'!$L25-'User input'!$L26)</f>
        <v>2510.9338240386005</v>
      </c>
      <c r="I6" s="4"/>
      <c r="J6" s="4"/>
      <c r="K6" s="4"/>
      <c r="L6" s="7"/>
      <c r="M6" s="4"/>
      <c r="N6" s="6" t="s">
        <v>38</v>
      </c>
      <c r="O6" s="25">
        <f>SUMPRODUCT($C12:$C32,O12:O32)*(1-'User input'!$L25-'User input'!$L26)</f>
        <v>781.79883016684767</v>
      </c>
      <c r="P6" s="26"/>
      <c r="Q6" s="25">
        <f>SUMPRODUCT($C12:$C32,Q12:Q32)*(1-'User input'!$L25-'User input'!$L26)</f>
        <v>2999.1460668865275</v>
      </c>
      <c r="R6" s="4"/>
      <c r="S6" s="7"/>
      <c r="T6" s="4"/>
      <c r="U6" s="8"/>
    </row>
    <row r="7" spans="1:24" x14ac:dyDescent="0.2">
      <c r="B7" s="4"/>
      <c r="C7" s="4"/>
      <c r="D7" s="4"/>
      <c r="E7" s="4"/>
      <c r="F7" s="6" t="s">
        <v>39</v>
      </c>
      <c r="G7" s="10">
        <f>G6/($G6+$H6+$O6+$Q6)</f>
        <v>0.29287848534527439</v>
      </c>
      <c r="H7" s="10">
        <f>H6/($G6+$H6+$O6+$Q6)</f>
        <v>0.28219477958148059</v>
      </c>
      <c r="I7" s="4"/>
      <c r="J7" s="7"/>
      <c r="K7" s="4"/>
      <c r="L7" s="7"/>
      <c r="M7" s="4"/>
      <c r="N7" s="6" t="s">
        <v>39</v>
      </c>
      <c r="O7" s="10">
        <f>O6/($G6+$H6+$O6+$Q6)</f>
        <v>8.7863545603582324E-2</v>
      </c>
      <c r="P7" s="30"/>
      <c r="Q7" s="10">
        <f>Q6/($G6+$H6+$O6+$Q6)</f>
        <v>0.3370631894696629</v>
      </c>
      <c r="R7" s="4"/>
      <c r="S7" s="4"/>
      <c r="T7" s="4"/>
      <c r="U7" s="4"/>
    </row>
    <row r="8" spans="1:24" x14ac:dyDescent="0.2">
      <c r="B8" s="4"/>
      <c r="C8" s="4"/>
      <c r="D8" s="4"/>
      <c r="E8" s="4"/>
      <c r="F8" s="7"/>
      <c r="G8" s="4"/>
      <c r="H8" s="4"/>
      <c r="I8" s="52"/>
      <c r="J8" s="4"/>
      <c r="K8" s="53" t="s">
        <v>40</v>
      </c>
      <c r="L8" s="4"/>
      <c r="M8" s="4"/>
      <c r="N8" s="4"/>
      <c r="O8" s="4"/>
      <c r="P8" s="4"/>
      <c r="Q8" s="4"/>
      <c r="R8" s="4"/>
      <c r="S8" s="4"/>
      <c r="T8" s="4"/>
      <c r="U8" s="4"/>
    </row>
    <row r="9" spans="1:24" x14ac:dyDescent="0.2">
      <c r="B9" s="4"/>
      <c r="C9" s="8" t="s">
        <v>2</v>
      </c>
      <c r="D9" s="8" t="s">
        <v>40</v>
      </c>
      <c r="E9" s="8" t="s">
        <v>40</v>
      </c>
      <c r="F9" s="8" t="s">
        <v>41</v>
      </c>
      <c r="G9" s="4"/>
      <c r="H9" s="4"/>
      <c r="I9" s="8" t="s">
        <v>11</v>
      </c>
      <c r="J9" s="8" t="s">
        <v>42</v>
      </c>
      <c r="K9" s="8" t="s">
        <v>53</v>
      </c>
      <c r="L9" s="4"/>
      <c r="M9" s="4"/>
      <c r="N9" s="8"/>
      <c r="O9" s="8"/>
      <c r="P9" s="8"/>
      <c r="Q9" s="7">
        <f>SUM(Q12:Q32)/'User input'!F24</f>
        <v>1666.732205737386</v>
      </c>
      <c r="R9" s="7">
        <f>SUM(R12:R32)/'User input'!F24</f>
        <v>9.8683190921358488</v>
      </c>
      <c r="S9" s="4"/>
      <c r="T9" s="4"/>
      <c r="U9" s="4"/>
    </row>
    <row r="10" spans="1:24" x14ac:dyDescent="0.2">
      <c r="B10" s="4"/>
      <c r="C10" s="8" t="s">
        <v>3</v>
      </c>
      <c r="D10" s="8" t="s">
        <v>5</v>
      </c>
      <c r="E10" s="8" t="s">
        <v>5</v>
      </c>
      <c r="F10" s="8" t="s">
        <v>5</v>
      </c>
      <c r="G10" s="8" t="s">
        <v>43</v>
      </c>
      <c r="H10" s="8" t="s">
        <v>10</v>
      </c>
      <c r="I10" s="8" t="s">
        <v>44</v>
      </c>
      <c r="J10" s="8" t="s">
        <v>14</v>
      </c>
      <c r="K10" s="8" t="s">
        <v>52</v>
      </c>
      <c r="L10" s="8" t="s">
        <v>16</v>
      </c>
      <c r="M10" s="8" t="s">
        <v>16</v>
      </c>
      <c r="N10" s="8" t="s">
        <v>45</v>
      </c>
      <c r="O10" s="8"/>
      <c r="P10" s="8" t="s">
        <v>46</v>
      </c>
      <c r="Q10" s="8" t="s">
        <v>25</v>
      </c>
      <c r="R10" s="8" t="s">
        <v>23</v>
      </c>
      <c r="S10" s="8" t="s">
        <v>11</v>
      </c>
      <c r="T10" s="8" t="s">
        <v>29</v>
      </c>
      <c r="U10" s="8" t="s">
        <v>31</v>
      </c>
    </row>
    <row r="11" spans="1:24" x14ac:dyDescent="0.2">
      <c r="A11" s="11"/>
      <c r="B11" s="31" t="s">
        <v>1</v>
      </c>
      <c r="C11" s="31" t="s">
        <v>4</v>
      </c>
      <c r="D11" s="24" t="s">
        <v>6</v>
      </c>
      <c r="E11" s="24" t="s">
        <v>7</v>
      </c>
      <c r="F11" s="24" t="s">
        <v>8</v>
      </c>
      <c r="G11" s="24" t="s">
        <v>9</v>
      </c>
      <c r="H11" s="24" t="s">
        <v>44</v>
      </c>
      <c r="I11" s="24" t="s">
        <v>12</v>
      </c>
      <c r="J11" s="24" t="s">
        <v>44</v>
      </c>
      <c r="K11" s="24" t="s">
        <v>51</v>
      </c>
      <c r="L11" s="24" t="s">
        <v>9</v>
      </c>
      <c r="M11" s="24" t="s">
        <v>17</v>
      </c>
      <c r="N11" s="24" t="s">
        <v>47</v>
      </c>
      <c r="O11" s="24" t="s">
        <v>48</v>
      </c>
      <c r="P11" s="24" t="s">
        <v>23</v>
      </c>
      <c r="Q11" s="24" t="s">
        <v>23</v>
      </c>
      <c r="R11" s="31" t="s">
        <v>27</v>
      </c>
      <c r="S11" s="24" t="s">
        <v>28</v>
      </c>
      <c r="T11" s="24" t="s">
        <v>30</v>
      </c>
      <c r="U11" s="24" t="s">
        <v>30</v>
      </c>
    </row>
    <row r="12" spans="1:24" x14ac:dyDescent="0.2">
      <c r="B12" s="8">
        <v>0</v>
      </c>
      <c r="C12" s="29">
        <f>IF(B12&gt;'User input'!F$24,"",'User input'!F$50^B12)</f>
        <v>1</v>
      </c>
      <c r="D12" s="8">
        <f>IF(B12&gt;'User input'!F$24,"",IF(B12=0,'User input'!F$14,D11+1))</f>
        <v>0</v>
      </c>
      <c r="E12" s="28">
        <f>IF(B12&gt;'User input'!F$24,"",IF(B12=0,'User input'!F$19,E11+'User input'!F$43))</f>
        <v>0</v>
      </c>
      <c r="F12" s="57">
        <f>IF(B12&gt;'User input'!F$24,"",EXP('User input'!G$9*(D12-'User input'!F$14)+'User input'!H$9*((E12-'User input'!F$19)/100))*'User input'!F$21*(1+'User input'!F$45)^B12)</f>
        <v>30000</v>
      </c>
      <c r="G12" s="27">
        <f>IF(B12&gt;'User input'!F$24,"",IF(B12&gt;0,F11*'User input'!L$23,0))</f>
        <v>0</v>
      </c>
      <c r="H12" s="27">
        <f>IF(B12&gt;'User input'!F$24,"",IF(B12&gt;0,F11-F12,0))</f>
        <v>0</v>
      </c>
      <c r="I12" s="52">
        <f>IF(B12&gt;'User input'!F$24,"",IF(B12&gt;7,0,IF(SUM(I$11:I11)&lt;1,IF(B12='User input'!F$24,'User input'!L33/2,'User input'!L33),0)))</f>
        <v>0.1429</v>
      </c>
      <c r="J12" s="27">
        <f>IF(B12&gt;'User input'!F$24,"",IF(B12=0,MIN('User input'!F$20,'User input'!L$28)+'User input'!L$31+'User input'!L$32*I12,'User input'!L$32*I12))</f>
        <v>4287</v>
      </c>
      <c r="K12" s="27">
        <f>IF(B12&gt;'User input'!F$24,"",IF(B12=0,'User input'!F$20-J12,K11-J12))</f>
        <v>25713</v>
      </c>
      <c r="L12" s="27">
        <f>IF(B12&gt;'User input'!F$24,"",IF(B12&gt;0,('User input'!F$20-'User input'!F$22)*'User input'!L$23,0))</f>
        <v>0</v>
      </c>
      <c r="M12" s="27">
        <f>IF(B12&gt;'User input'!F$24,"",IF(B12='User input'!F$24,'User input'!F$20-'User input'!F$22,0))</f>
        <v>0</v>
      </c>
      <c r="N12" s="27">
        <f>IF(B12&gt;'User input'!F$24,"",IF(B12=0,'User input'!F$22,IF(B12='User input'!F$24,-F12*(1-'User input'!F$46),0)))</f>
        <v>12000</v>
      </c>
      <c r="O12" s="27">
        <f>IF(B12&gt;'User input'!F$24,"",IF(B12&gt;0,'User input'!F$48*F11,0))</f>
        <v>0</v>
      </c>
      <c r="P12" s="59">
        <f>IF(B12&gt;'User input'!F$24,"",(IF(E12&gt;'User input'!K$9,(E12-'User input'!K$9)*('User input'!F$23*(1+'User input'!F$45)^B12*'User input'!J$9*'User input'!I$9*('User input'!K$9/1000)^('User input'!J$9-1))/1000+'User input'!I$9*'User input'!F$23*(1+'User input'!F$45)^B12*('User input'!K$9/1000)^'User input'!J$9,'User input'!I$9*'User input'!F$23*(1+'User input'!F$45)^B12*(E12/1000)^'User input'!J$9))*'User input'!F$47)</f>
        <v>0</v>
      </c>
      <c r="Q12" s="27">
        <f>IF(B12&gt;'User input'!F$24,"",IF(B12&gt;0,(P12-P11),0))</f>
        <v>0</v>
      </c>
      <c r="R12" s="32">
        <f>IF(B12&gt;'User input'!F$24,"",Q12/'User input'!F$43)</f>
        <v>0</v>
      </c>
      <c r="S12" s="27">
        <f>IF(B12&gt;'User input'!F$24,"",(J12+L12+O12+Q12)*('User input'!L$25+'User input'!L$26)-IF(B12='User input'!F$24,(F12-K12)*'User input'!L$25,0))</f>
        <v>1513.3109999999999</v>
      </c>
      <c r="T12" s="27">
        <f>IF(B12&gt;'User input'!F$24,"",L12+M12+N12+O12+Q12-S12)</f>
        <v>10486.689</v>
      </c>
      <c r="U12" s="27">
        <f>IF(B12&gt;'User input'!F$24,"",C12*T12)</f>
        <v>10486.689</v>
      </c>
      <c r="W12" s="58"/>
      <c r="X12" s="58"/>
    </row>
    <row r="13" spans="1:24" x14ac:dyDescent="0.2">
      <c r="B13" s="8">
        <f>IF(B12&gt;='User input'!F$24,"",B12+1)</f>
        <v>1</v>
      </c>
      <c r="C13" s="29">
        <f>IF(B13&gt;'User input'!F$24,"",'User input'!F$50^B13)</f>
        <v>0.96866372838669046</v>
      </c>
      <c r="D13" s="8">
        <f>IF(B13&gt;'User input'!F$24,"",IF(B13=0,'User input'!F$14,D12+1))</f>
        <v>1</v>
      </c>
      <c r="E13" s="28">
        <f>IF(B13&gt;'User input'!F$24,"",IF(B13=0,'User input'!F$19,E12+'User input'!F$43))</f>
        <v>168.89727522751267</v>
      </c>
      <c r="F13" s="57">
        <f>IF(B13&gt;'User input'!F$24,"",EXP('User input'!G$9*(D13-'User input'!F$14)+'User input'!H$9*((E13-'User input'!F$19)/100))*'User input'!F$21*(1+'User input'!F$45)^B13)</f>
        <v>28554.717432135029</v>
      </c>
      <c r="G13" s="27">
        <f>IF(B13&gt;'User input'!F$24,"",IF(B13&gt;0,F12*'User input'!L$23,0))</f>
        <v>1500</v>
      </c>
      <c r="H13" s="27">
        <f>IF(B13&gt;'User input'!F$24,"",IF(B13&gt;0,F12-F13,0))</f>
        <v>1445.2825678649715</v>
      </c>
      <c r="I13" s="52">
        <f>IF(B13&gt;'User input'!F$24,"",IF(B13&gt;7,0,IF(SUM(I$11:I12)&lt;1,IF(B13='User input'!F$24,'User input'!L34/2,'User input'!L34),0)))</f>
        <v>0.24490000000000001</v>
      </c>
      <c r="J13" s="27">
        <f>IF(B13&gt;'User input'!F$24,"",IF(B13=0,MIN('User input'!F$20,'User input'!L$28)+'User input'!L$31+'User input'!L$32*I13,'User input'!L$32*I13))</f>
        <v>7347</v>
      </c>
      <c r="K13" s="27">
        <f>IF(B13&gt;'User input'!F$24,"",IF(B13=0,'User input'!F$20-J13,K12-J13))</f>
        <v>18366</v>
      </c>
      <c r="L13" s="27">
        <f>IF(B13&gt;'User input'!F$24,"",IF(B13&gt;0,('User input'!F$20-'User input'!F$22)*'User input'!L$23,0))</f>
        <v>900</v>
      </c>
      <c r="M13" s="27">
        <f>IF(B13&gt;'User input'!F$24,"",IF(B13='User input'!F$24,'User input'!F$20-'User input'!F$22,0))</f>
        <v>0</v>
      </c>
      <c r="N13" s="27">
        <f>IF(B13&gt;'User input'!F$24,"",IF(B13=0,'User input'!F$22,IF(B13='User input'!F$24,-F13*(1-'User input'!F$46),0)))</f>
        <v>0</v>
      </c>
      <c r="O13" s="27">
        <f>IF(B13&gt;'User input'!F$24,"",IF(B13&gt;0,'User input'!F$48*F12,0))</f>
        <v>450</v>
      </c>
      <c r="P13" s="59">
        <f>IF(B13&gt;'User input'!F$24,"",(IF(E13&gt;'User input'!K$9,(E13-'User input'!K$9)*('User input'!F$23*(1+'User input'!F$45)^B13*'User input'!J$9*'User input'!I$9*('User input'!K$9/1000)^('User input'!J$9-1))/1000+'User input'!I$9*'User input'!F$23*(1+'User input'!F$45)^B13*('User input'!K$9/1000)^'User input'!J$9,'User input'!I$9*'User input'!F$23*(1+'User input'!F$45)^B13*(E13/1000)^'User input'!J$9))*'User input'!F$47)</f>
        <v>678.46285551765425</v>
      </c>
      <c r="Q13" s="27">
        <f>IF(B13&gt;'User input'!F$24,"",IF(B13&gt;0,(P13-P12),0))</f>
        <v>678.46285551765425</v>
      </c>
      <c r="R13" s="32">
        <f>IF(B13&gt;'User input'!F$24,"",Q13/'User input'!F$43)</f>
        <v>4.0170148073953973</v>
      </c>
      <c r="S13" s="27">
        <f>IF(B13&gt;'User input'!F$24,"",(J13+L13+O13+Q13)*('User input'!L$25+'User input'!L$26)-IF(B13='User input'!F$24,(F13-K13)*'User input'!L$25,0))</f>
        <v>3309.5383879977321</v>
      </c>
      <c r="T13" s="27">
        <f>IF(B13&gt;'User input'!F$24,"",L13+M13+N13+O13+Q13-S13)</f>
        <v>-1281.075532480078</v>
      </c>
      <c r="U13" s="27">
        <f>IF(B13&gt;'User input'!F$24,"",C13*T13)</f>
        <v>-1240.931401637117</v>
      </c>
      <c r="W13" s="58"/>
      <c r="X13" s="58"/>
    </row>
    <row r="14" spans="1:24" x14ac:dyDescent="0.2">
      <c r="B14" s="8">
        <f>IF(B13&gt;='User input'!F$24,"",B13+1)</f>
        <v>2</v>
      </c>
      <c r="C14" s="29">
        <f>IF(B14&gt;'User input'!F$24,"",'User input'!F$50^B14)</f>
        <v>0.93830941869200402</v>
      </c>
      <c r="D14" s="8">
        <f>IF(B14&gt;'User input'!F$24,"",IF(B14=0,'User input'!F$14,D13+1))</f>
        <v>2</v>
      </c>
      <c r="E14" s="28">
        <f>IF(B14&gt;'User input'!F$24,"",IF(B14=0,'User input'!F$19,E13+'User input'!F$43))</f>
        <v>337.79455045502533</v>
      </c>
      <c r="F14" s="57">
        <f>IF(B14&gt;'User input'!F$24,"",EXP('User input'!G$9*(D14-'User input'!F$14)+'User input'!H$9*((E14-'User input'!F$19)/100))*'User input'!F$21*(1+'User input'!F$45)^B14)</f>
        <v>27179.062920969209</v>
      </c>
      <c r="G14" s="27">
        <f>IF(B14&gt;'User input'!F$24,"",IF(B14&gt;0,F13*'User input'!L$23,0))</f>
        <v>1427.7358716067515</v>
      </c>
      <c r="H14" s="27">
        <f>IF(B14&gt;'User input'!F$24,"",IF(B14&gt;0,F13-F14,0))</f>
        <v>1375.6545111658197</v>
      </c>
      <c r="I14" s="52">
        <f>IF(B14&gt;'User input'!F$24,"",IF(B14&gt;7,0,IF(SUM(I$11:I13)&lt;1,IF(B14='User input'!F$24,'User input'!L35/2,'User input'!L35),0)))</f>
        <v>0.1749</v>
      </c>
      <c r="J14" s="27">
        <f>IF(B14&gt;'User input'!F$24,"",IF(B14=0,MIN('User input'!F$20,'User input'!L$28)+'User input'!L$31+'User input'!L$32*I14,'User input'!L$32*I14))</f>
        <v>5247</v>
      </c>
      <c r="K14" s="27">
        <f>IF(B14&gt;'User input'!F$24,"",IF(B14=0,'User input'!F$20-J14,K13-J14))</f>
        <v>13119</v>
      </c>
      <c r="L14" s="27">
        <f>IF(B14&gt;'User input'!F$24,"",IF(B14&gt;0,('User input'!F$20-'User input'!F$22)*'User input'!L$23,0))</f>
        <v>900</v>
      </c>
      <c r="M14" s="27">
        <f>IF(B14&gt;'User input'!F$24,"",IF(B14='User input'!F$24,'User input'!F$20-'User input'!F$22,0))</f>
        <v>0</v>
      </c>
      <c r="N14" s="27">
        <f>IF(B14&gt;'User input'!F$24,"",IF(B14=0,'User input'!F$22,IF(B14='User input'!F$24,-F14*(1-'User input'!F$46),0)))</f>
        <v>0</v>
      </c>
      <c r="O14" s="27">
        <f>IF(B14&gt;'User input'!F$24,"",IF(B14&gt;0,'User input'!F$48*F13,0))</f>
        <v>428.32076148202543</v>
      </c>
      <c r="P14" s="59">
        <f>IF(B14&gt;'User input'!F$24,"",(IF(E14&gt;'User input'!K$9,(E14-'User input'!K$9)*('User input'!F$23*(1+'User input'!F$45)^B14*'User input'!J$9*'User input'!I$9*('User input'!K$9/1000)^('User input'!J$9-1))/1000+'User input'!I$9*'User input'!F$23*(1+'User input'!F$45)^B14*('User input'!K$9/1000)^'User input'!J$9,'User input'!I$9*'User input'!F$23*(1+'User input'!F$45)^B14*(E14/1000)^'User input'!J$9))*'User input'!F$47)</f>
        <v>2386.1703330274195</v>
      </c>
      <c r="Q14" s="27">
        <f>IF(B14&gt;'User input'!F$24,"",IF(B14&gt;0,(P14-P13),0))</f>
        <v>1707.7074775097653</v>
      </c>
      <c r="R14" s="32">
        <f>IF(B14&gt;'User input'!F$24,"",Q14/'User input'!F$43)</f>
        <v>10.110923786126225</v>
      </c>
      <c r="S14" s="27">
        <f>IF(B14&gt;'User input'!F$24,"",(J14+L14+O14+Q14)*('User input'!L$25+'User input'!L$26)-IF(B14='User input'!F$24,(F14-K14)*'User input'!L$25,0))</f>
        <v>2923.9089683641023</v>
      </c>
      <c r="T14" s="27">
        <f>IF(B14&gt;'User input'!F$24,"",L14+M14+N14+O14+Q14-S14)</f>
        <v>112.11927062768837</v>
      </c>
      <c r="U14" s="27">
        <f>IF(B14&gt;'User input'!F$24,"",C14*T14)</f>
        <v>105.20256764683775</v>
      </c>
      <c r="W14" s="58"/>
      <c r="X14" s="58"/>
    </row>
    <row r="15" spans="1:24" x14ac:dyDescent="0.2">
      <c r="B15" s="8">
        <f>IF(B14&gt;='User input'!F$24,"",B14+1)</f>
        <v>3</v>
      </c>
      <c r="C15" s="29">
        <f>IF(B15&gt;'User input'!F$24,"",'User input'!F$50^B15)</f>
        <v>0.90890629989054483</v>
      </c>
      <c r="D15" s="8">
        <f>IF(B15&gt;'User input'!F$24,"",IF(B15=0,'User input'!F$14,D14+1))</f>
        <v>3</v>
      </c>
      <c r="E15" s="28">
        <f>IF(B15&gt;'User input'!F$24,"",IF(B15=0,'User input'!F$19,E14+'User input'!F$43))</f>
        <v>506.69182568253802</v>
      </c>
      <c r="F15" s="57">
        <f>IF(B15&gt;'User input'!F$24,"",EXP('User input'!G$9*(D15-'User input'!F$14)+'User input'!H$9*((E15-'User input'!F$19)/100))*'User input'!F$21*(1+'User input'!F$45)^B15)</f>
        <v>25869.682059283143</v>
      </c>
      <c r="G15" s="27">
        <f>IF(B15&gt;'User input'!F$24,"",IF(B15&gt;0,F14*'User input'!L$23,0))</f>
        <v>1358.9531460484604</v>
      </c>
      <c r="H15" s="27">
        <f>IF(B15&gt;'User input'!F$24,"",IF(B15&gt;0,F14-F15,0))</f>
        <v>1309.3808616860661</v>
      </c>
      <c r="I15" s="52">
        <f>IF(B15&gt;'User input'!F$24,"",IF(B15&gt;7,0,IF(SUM(I$11:I14)&lt;1,IF(B15='User input'!F$24,'User input'!L36/2,'User input'!L36),0)))</f>
        <v>6.2449999999999999E-2</v>
      </c>
      <c r="J15" s="27">
        <f>IF(B15&gt;'User input'!F$24,"",IF(B15=0,MIN('User input'!F$20,'User input'!L$28)+'User input'!L$31+'User input'!L$32*I15,'User input'!L$32*I15))</f>
        <v>1873.5</v>
      </c>
      <c r="K15" s="27">
        <f>IF(B15&gt;'User input'!F$24,"",IF(B15=0,'User input'!F$20-J15,K14-J15))</f>
        <v>11245.5</v>
      </c>
      <c r="L15" s="27">
        <f>IF(B15&gt;'User input'!F$24,"",IF(B15&gt;0,('User input'!F$20-'User input'!F$22)*'User input'!L$23,0))</f>
        <v>900</v>
      </c>
      <c r="M15" s="27">
        <f>IF(B15&gt;'User input'!F$24,"",IF(B15='User input'!F$24,'User input'!F$20-'User input'!F$22,0))</f>
        <v>18000</v>
      </c>
      <c r="N15" s="27">
        <f>IF(B15&gt;'User input'!F$24,"",IF(B15=0,'User input'!F$22,IF(B15='User input'!F$24,-F15*(1-'User input'!F$46),0)))</f>
        <v>-24576.197956318985</v>
      </c>
      <c r="O15" s="27">
        <f>IF(B15&gt;'User input'!F$24,"",IF(B15&gt;0,'User input'!F$48*F14,0))</f>
        <v>407.68594381453812</v>
      </c>
      <c r="P15" s="59">
        <f>IF(B15&gt;'User input'!F$24,"",(IF(E15&gt;'User input'!K$9,(E15-'User input'!K$9)*('User input'!F$23*(1+'User input'!F$45)^B15*'User input'!J$9*'User input'!I$9*('User input'!K$9/1000)^('User input'!J$9-1))/1000+'User input'!I$9*'User input'!F$23*(1+'User input'!F$45)^B15*('User input'!K$9/1000)^'User input'!J$9,'User input'!I$9*'User input'!F$23*(1+'User input'!F$45)^B15*(E15/1000)^'User input'!J$9))*'User input'!F$47)</f>
        <v>5000.1966172121583</v>
      </c>
      <c r="Q15" s="27">
        <f>IF(B15&gt;'User input'!F$24,"",IF(B15&gt;0,(P15-P14),0))</f>
        <v>2614.0262841847389</v>
      </c>
      <c r="R15" s="32">
        <f>IF(B15&gt;'User input'!F$24,"",Q15/'User input'!F$43)</f>
        <v>15.477018682885921</v>
      </c>
      <c r="S15" s="27">
        <f>IF(B15&gt;'User input'!F$24,"",(J15+L15+O15+Q15)*('User input'!L$25+'User input'!L$26)-IF(B15='User input'!F$24,(F15-K15)*'User input'!L$25,0))</f>
        <v>-879.12649537288439</v>
      </c>
      <c r="T15" s="27">
        <f>IF(B15&gt;'User input'!F$24,"",L15+M15+N15+O15+Q15-S15)</f>
        <v>-1775.3592329468236</v>
      </c>
      <c r="U15" s="27">
        <f>IF(B15&gt;'User input'!F$24,"",C15*T15)</f>
        <v>-1613.6351913942133</v>
      </c>
      <c r="W15" s="58"/>
      <c r="X15" s="58"/>
    </row>
    <row r="16" spans="1:24" x14ac:dyDescent="0.2">
      <c r="B16" s="8" t="str">
        <f>IF(B15&gt;='User input'!F$24,"",B15+1)</f>
        <v/>
      </c>
      <c r="C16" s="29" t="str">
        <f>IF(B16&gt;'User input'!F$24,"",'User input'!F$50^B16)</f>
        <v/>
      </c>
      <c r="D16" s="8" t="str">
        <f>IF(B16&gt;'User input'!F$24,"",IF(B16=0,'User input'!F$14,D15+1))</f>
        <v/>
      </c>
      <c r="E16" s="28" t="str">
        <f>IF(B16&gt;'User input'!F$24,"",IF(B16=0,'User input'!F$19,E15+'User input'!F$43))</f>
        <v/>
      </c>
      <c r="F16" s="57" t="str">
        <f>IF(B16&gt;'User input'!F$24,"",EXP('User input'!G$9*(D16-'User input'!F$14)+'User input'!H$9*((E16-'User input'!F$19)/100))*'User input'!F$21*(1+'User input'!F$45)^B16)</f>
        <v/>
      </c>
      <c r="G16" s="27" t="str">
        <f>IF(B16&gt;'User input'!F$24,"",IF(B16&gt;0,F15*'User input'!L$23,0))</f>
        <v/>
      </c>
      <c r="H16" s="27" t="str">
        <f>IF(B16&gt;'User input'!F$24,"",IF(B16&gt;0,F15-F16,0))</f>
        <v/>
      </c>
      <c r="I16" s="52" t="str">
        <f>IF(B16&gt;'User input'!F$24,"",IF(B16&gt;7,0,IF(SUM(I$11:I15)&lt;1,IF(B16='User input'!F$24,'User input'!L37/2,'User input'!L37),0)))</f>
        <v/>
      </c>
      <c r="J16" s="27" t="str">
        <f>IF(B16&gt;'User input'!F$24,"",IF(B16=0,MIN('User input'!F$20,'User input'!L$28)+'User input'!L$31+'User input'!L$32*I16,'User input'!L$32*I16))</f>
        <v/>
      </c>
      <c r="K16" s="27" t="str">
        <f>IF(B16&gt;'User input'!F$24,"",IF(B16=0,'User input'!F$20-J16,K15-J16))</f>
        <v/>
      </c>
      <c r="L16" s="27" t="str">
        <f>IF(B16&gt;'User input'!F$24,"",IF(B16&gt;0,('User input'!F$20-'User input'!F$22)*'User input'!L$23,0))</f>
        <v/>
      </c>
      <c r="M16" s="27" t="str">
        <f>IF(B16&gt;'User input'!F$24,"",IF(B16='User input'!F$24,'User input'!F$20-'User input'!F$22,0))</f>
        <v/>
      </c>
      <c r="N16" s="27" t="str">
        <f>IF(B16&gt;'User input'!F$24,"",IF(B16=0,'User input'!F$22,IF(B16='User input'!F$24,-F16*(1-'User input'!F$46),0)))</f>
        <v/>
      </c>
      <c r="O16" s="27" t="str">
        <f>IF(B16&gt;'User input'!F$24,"",IF(B16&gt;0,'User input'!F$48*F15,0))</f>
        <v/>
      </c>
      <c r="P16" s="59" t="str">
        <f>IF(B16&gt;'User input'!F$24,"",(IF(E16&gt;'User input'!K$9,(E16-'User input'!K$9)*('User input'!F$23*(1+'User input'!F$45)^B16*'User input'!J$9*'User input'!I$9*('User input'!K$9/1000)^('User input'!J$9-1))/1000+'User input'!I$9*'User input'!F$23*(1+'User input'!F$45)^B16*('User input'!K$9/1000)^'User input'!J$9,'User input'!I$9*'User input'!F$23*(1+'User input'!F$45)^B16*(E16/1000)^'User input'!J$9))*'User input'!F$47)</f>
        <v/>
      </c>
      <c r="Q16" s="27" t="str">
        <f>IF(B16&gt;'User input'!F$24,"",IF(B16&gt;0,(P16-P15),0))</f>
        <v/>
      </c>
      <c r="R16" s="32" t="str">
        <f>IF(B16&gt;'User input'!F$24,"",Q16/'User input'!F$43)</f>
        <v/>
      </c>
      <c r="S16" s="27" t="str">
        <f>IF(B16&gt;'User input'!F$24,"",(J16+L16+O16+Q16)*('User input'!L$25+'User input'!L$26)-IF(B16='User input'!F$24,(F16-K16)*'User input'!L$25,0))</f>
        <v/>
      </c>
      <c r="T16" s="27" t="str">
        <f>IF(B16&gt;'User input'!F$24,"",L16+M16+N16+O16+Q16-S16)</f>
        <v/>
      </c>
      <c r="U16" s="27" t="str">
        <f>IF(B16&gt;'User input'!F$24,"",C16*T16)</f>
        <v/>
      </c>
      <c r="W16" s="58"/>
      <c r="X16" s="58"/>
    </row>
    <row r="17" spans="2:24" x14ac:dyDescent="0.2">
      <c r="B17" s="8" t="str">
        <f>IF(B16&gt;='User input'!F$24,"",B16+1)</f>
        <v/>
      </c>
      <c r="C17" s="29" t="str">
        <f>IF(B17&gt;'User input'!F$24,"",'User input'!F$50^B17)</f>
        <v/>
      </c>
      <c r="D17" s="8" t="str">
        <f>IF(B17&gt;'User input'!F$24,"",IF(B17=0,'User input'!F$14,D16+1))</f>
        <v/>
      </c>
      <c r="E17" s="28" t="str">
        <f>IF(B17&gt;'User input'!F$24,"",IF(B17=0,'User input'!F$19,E16+'User input'!F$43))</f>
        <v/>
      </c>
      <c r="F17" s="57" t="str">
        <f>IF(B17&gt;'User input'!F$24,"",EXP('User input'!G$9*(D17-'User input'!F$14)+'User input'!H$9*((E17-'User input'!F$19)/100))*'User input'!F$21*(1+'User input'!F$45)^B17)</f>
        <v/>
      </c>
      <c r="G17" s="27" t="str">
        <f>IF(B17&gt;'User input'!F$24,"",IF(B17&gt;0,F16*'User input'!L$23,0))</f>
        <v/>
      </c>
      <c r="H17" s="27" t="str">
        <f>IF(B17&gt;'User input'!F$24,"",IF(B17&gt;0,F16-F17,0))</f>
        <v/>
      </c>
      <c r="I17" s="52" t="str">
        <f>IF(B17&gt;'User input'!F$24,"",IF(B17&gt;7,0,IF(SUM(I$11:I16)&lt;1,IF(B17='User input'!F$24,'User input'!L38/2,'User input'!L38),0)))</f>
        <v/>
      </c>
      <c r="J17" s="27" t="str">
        <f>IF(B17&gt;'User input'!F$24,"",IF(B17=0,MIN('User input'!F$20,'User input'!L$28)+'User input'!L$31+'User input'!L$32*I17,'User input'!L$32*I17))</f>
        <v/>
      </c>
      <c r="K17" s="27" t="str">
        <f>IF(B17&gt;'User input'!F$24,"",IF(B17=0,'User input'!F$20-J17,K16-J17))</f>
        <v/>
      </c>
      <c r="L17" s="27" t="str">
        <f>IF(B17&gt;'User input'!F$24,"",IF(B17&gt;0,('User input'!F$20-'User input'!F$22)*'User input'!L$23,0))</f>
        <v/>
      </c>
      <c r="M17" s="27" t="str">
        <f>IF(B17&gt;'User input'!F$24,"",IF(B17='User input'!F$24,'User input'!F$20-'User input'!F$22,0))</f>
        <v/>
      </c>
      <c r="N17" s="27" t="str">
        <f>IF(B17&gt;'User input'!F$24,"",IF(B17=0,'User input'!F$22,IF(B17='User input'!F$24,-F17*(1-'User input'!F$46),0)))</f>
        <v/>
      </c>
      <c r="O17" s="27" t="str">
        <f>IF(B17&gt;'User input'!F$24,"",IF(B17&gt;0,'User input'!F$48*F16,0))</f>
        <v/>
      </c>
      <c r="P17" s="59" t="str">
        <f>IF(B17&gt;'User input'!F$24,"",(IF(E17&gt;'User input'!K$9,(E17-'User input'!K$9)*('User input'!F$23*(1+'User input'!F$45)^B17*'User input'!J$9*'User input'!I$9*('User input'!K$9/1000)^('User input'!J$9-1))/1000+'User input'!I$9*'User input'!F$23*(1+'User input'!F$45)^B17*('User input'!K$9/1000)^'User input'!J$9,'User input'!I$9*'User input'!F$23*(1+'User input'!F$45)^B17*(E17/1000)^'User input'!J$9))*'User input'!F$47)</f>
        <v/>
      </c>
      <c r="Q17" s="27" t="str">
        <f>IF(B17&gt;'User input'!F$24,"",IF(B17&gt;0,(P17-P16),0))</f>
        <v/>
      </c>
      <c r="R17" s="32" t="str">
        <f>IF(B17&gt;'User input'!F$24,"",Q17/'User input'!F$43)</f>
        <v/>
      </c>
      <c r="S17" s="27" t="str">
        <f>IF(B17&gt;'User input'!F$24,"",(J17+L17+O17+Q17)*('User input'!L$25+'User input'!L$26)-IF(B17='User input'!F$24,(F17-K17)*'User input'!L$25,0))</f>
        <v/>
      </c>
      <c r="T17" s="27" t="str">
        <f>IF(B17&gt;'User input'!F$24,"",L17+M17+N17+O17+Q17-S17)</f>
        <v/>
      </c>
      <c r="U17" s="27" t="str">
        <f>IF(B17&gt;'User input'!F$24,"",C17*T17)</f>
        <v/>
      </c>
      <c r="W17" s="58"/>
      <c r="X17" s="58"/>
    </row>
    <row r="18" spans="2:24" x14ac:dyDescent="0.2">
      <c r="B18" s="8" t="str">
        <f>IF(B17&gt;='User input'!F$24,"",B17+1)</f>
        <v/>
      </c>
      <c r="C18" s="29" t="str">
        <f>IF(B18&gt;'User input'!F$24,"",'User input'!F$50^B18)</f>
        <v/>
      </c>
      <c r="D18" s="8" t="str">
        <f>IF(B18&gt;'User input'!F$24,"",IF(B18=0,'User input'!F$14,D17+1))</f>
        <v/>
      </c>
      <c r="E18" s="28" t="str">
        <f>IF(B18&gt;'User input'!F$24,"",IF(B18=0,'User input'!F$19,E17+'User input'!F$43))</f>
        <v/>
      </c>
      <c r="F18" s="57" t="str">
        <f>IF(B18&gt;'User input'!F$24,"",EXP('User input'!G$9*(D18-'User input'!F$14)+'User input'!H$9*((E18-'User input'!F$19)/100))*'User input'!F$21*(1+'User input'!F$45)^B18)</f>
        <v/>
      </c>
      <c r="G18" s="27" t="str">
        <f>IF(B18&gt;'User input'!F$24,"",IF(B18&gt;0,F17*'User input'!L$23,0))</f>
        <v/>
      </c>
      <c r="H18" s="27" t="str">
        <f>IF(B18&gt;'User input'!F$24,"",IF(B18&gt;0,F17-F18,0))</f>
        <v/>
      </c>
      <c r="I18" s="52" t="str">
        <f>IF(B18&gt;'User input'!F$24,"",IF(B18&gt;7,0,IF(SUM(I$11:I17)&lt;1,IF(B18='User input'!F$24,'User input'!L39/2,'User input'!L39),0)))</f>
        <v/>
      </c>
      <c r="J18" s="27" t="str">
        <f>IF(B18&gt;'User input'!F$24,"",IF(B18=0,MIN('User input'!F$20,'User input'!L$28)+'User input'!L$31+'User input'!L$32*I18,'User input'!L$32*I18))</f>
        <v/>
      </c>
      <c r="K18" s="27" t="str">
        <f>IF(B18&gt;'User input'!F$24,"",IF(B18=0,'User input'!F$20-J18,K17-J18))</f>
        <v/>
      </c>
      <c r="L18" s="27" t="str">
        <f>IF(B18&gt;'User input'!F$24,"",IF(B18&gt;0,('User input'!F$20-'User input'!F$22)*'User input'!L$23,0))</f>
        <v/>
      </c>
      <c r="M18" s="27" t="str">
        <f>IF(B18&gt;'User input'!F$24,"",IF(B18='User input'!F$24,'User input'!F$20-'User input'!F$22,0))</f>
        <v/>
      </c>
      <c r="N18" s="27" t="str">
        <f>IF(B18&gt;'User input'!F$24,"",IF(B18=0,'User input'!F$22,IF(B18='User input'!F$24,-F18*(1-'User input'!F$46),0)))</f>
        <v/>
      </c>
      <c r="O18" s="27" t="str">
        <f>IF(B18&gt;'User input'!F$24,"",IF(B18&gt;0,'User input'!F$48*F17,0))</f>
        <v/>
      </c>
      <c r="P18" s="59" t="str">
        <f>IF(B18&gt;'User input'!F$24,"",(IF(E18&gt;'User input'!K$9,(E18-'User input'!K$9)*('User input'!F$23*(1+'User input'!F$45)^B18*'User input'!J$9*'User input'!I$9*('User input'!K$9/1000)^('User input'!J$9-1))/1000+'User input'!I$9*'User input'!F$23*(1+'User input'!F$45)^B18*('User input'!K$9/1000)^'User input'!J$9,'User input'!I$9*'User input'!F$23*(1+'User input'!F$45)^B18*(E18/1000)^'User input'!J$9))*'User input'!F$47)</f>
        <v/>
      </c>
      <c r="Q18" s="27" t="str">
        <f>IF(B18&gt;'User input'!F$24,"",IF(B18&gt;0,(P18-P17),0))</f>
        <v/>
      </c>
      <c r="R18" s="32" t="str">
        <f>IF(B18&gt;'User input'!F$24,"",Q18/'User input'!F$43)</f>
        <v/>
      </c>
      <c r="S18" s="27" t="str">
        <f>IF(B18&gt;'User input'!F$24,"",(J18+L18+O18+Q18)*('User input'!L$25+'User input'!L$26)-IF(B18='User input'!F$24,(F18-K18)*'User input'!L$25,0))</f>
        <v/>
      </c>
      <c r="T18" s="27" t="str">
        <f>IF(B18&gt;'User input'!F$24,"",L18+M18+N18+O18+Q18-S18)</f>
        <v/>
      </c>
      <c r="U18" s="27" t="str">
        <f>IF(B18&gt;'User input'!F$24,"",C18*T18)</f>
        <v/>
      </c>
      <c r="W18" s="58"/>
      <c r="X18" s="58"/>
    </row>
    <row r="19" spans="2:24" x14ac:dyDescent="0.2">
      <c r="B19" s="8" t="str">
        <f>IF(B18&gt;='User input'!F$24,"",B18+1)</f>
        <v/>
      </c>
      <c r="C19" s="29" t="str">
        <f>IF(B19&gt;'User input'!F$24,"",'User input'!F$50^B19)</f>
        <v/>
      </c>
      <c r="D19" s="8" t="str">
        <f>IF(B19&gt;'User input'!F$24,"",IF(B19=0,'User input'!F$14,D18+1))</f>
        <v/>
      </c>
      <c r="E19" s="28" t="str">
        <f>IF(B19&gt;'User input'!F$24,"",IF(B19=0,'User input'!F$19,E18+'User input'!F$43))</f>
        <v/>
      </c>
      <c r="F19" s="57" t="str">
        <f>IF(B19&gt;'User input'!F$24,"",EXP('User input'!G$9*(D19-'User input'!F$14)+'User input'!H$9*((E19-'User input'!F$19)/100))*'User input'!F$21*(1+'User input'!F$45)^B19)</f>
        <v/>
      </c>
      <c r="G19" s="27" t="str">
        <f>IF(B19&gt;'User input'!F$24,"",IF(B19&gt;0,F18*'User input'!L$23,0))</f>
        <v/>
      </c>
      <c r="H19" s="27" t="str">
        <f>IF(B19&gt;'User input'!F$24,"",IF(B19&gt;0,F18-F19,0))</f>
        <v/>
      </c>
      <c r="I19" s="52" t="str">
        <f>IF(B19&gt;'User input'!F$24,"",IF(B19&gt;7,0,IF(SUM(I$11:I18)&lt;1,IF(B19='User input'!F$24,'User input'!L40/2,'User input'!L40),0)))</f>
        <v/>
      </c>
      <c r="J19" s="27" t="str">
        <f>IF(B19&gt;'User input'!F$24,"",IF(B19=0,MIN('User input'!F$20,'User input'!L$28)+'User input'!L$31+'User input'!L$32*I19,'User input'!L$32*I19))</f>
        <v/>
      </c>
      <c r="K19" s="27" t="str">
        <f>IF(B19&gt;'User input'!F$24,"",IF(B19=0,'User input'!F$20-J19,K18-J19))</f>
        <v/>
      </c>
      <c r="L19" s="27" t="str">
        <f>IF(B19&gt;'User input'!F$24,"",IF(B19&gt;0,('User input'!F$20-'User input'!F$22)*'User input'!L$23,0))</f>
        <v/>
      </c>
      <c r="M19" s="27" t="str">
        <f>IF(B19&gt;'User input'!F$24,"",IF(B19='User input'!F$24,'User input'!F$20-'User input'!F$22,0))</f>
        <v/>
      </c>
      <c r="N19" s="27" t="str">
        <f>IF(B19&gt;'User input'!F$24,"",IF(B19=0,'User input'!F$22,IF(B19='User input'!F$24,-F19*(1-'User input'!F$46),0)))</f>
        <v/>
      </c>
      <c r="O19" s="27" t="str">
        <f>IF(B19&gt;'User input'!F$24,"",IF(B19&gt;0,'User input'!F$48*F18,0))</f>
        <v/>
      </c>
      <c r="P19" s="59" t="str">
        <f>IF(B19&gt;'User input'!F$24,"",(IF(E19&gt;'User input'!K$9,(E19-'User input'!K$9)*('User input'!F$23*(1+'User input'!F$45)^B19*'User input'!J$9*'User input'!I$9*('User input'!K$9/1000)^('User input'!J$9-1))/1000+'User input'!I$9*'User input'!F$23*(1+'User input'!F$45)^B19*('User input'!K$9/1000)^'User input'!J$9,'User input'!I$9*'User input'!F$23*(1+'User input'!F$45)^B19*(E19/1000)^'User input'!J$9))*'User input'!F$47)</f>
        <v/>
      </c>
      <c r="Q19" s="27" t="str">
        <f>IF(B19&gt;'User input'!F$24,"",IF(B19&gt;0,(P19-P18),0))</f>
        <v/>
      </c>
      <c r="R19" s="32" t="str">
        <f>IF(B19&gt;'User input'!F$24,"",Q19/'User input'!F$43)</f>
        <v/>
      </c>
      <c r="S19" s="27" t="str">
        <f>IF(B19&gt;'User input'!F$24,"",(J19+L19+O19+Q19)*('User input'!L$25+'User input'!L$26)-IF(B19='User input'!F$24,(F19-K19)*'User input'!L$25,0))</f>
        <v/>
      </c>
      <c r="T19" s="27" t="str">
        <f>IF(B19&gt;'User input'!F$24,"",L19+M19+N19+O19+Q19-S19)</f>
        <v/>
      </c>
      <c r="U19" s="27" t="str">
        <f>IF(B19&gt;'User input'!F$24,"",C19*T19)</f>
        <v/>
      </c>
      <c r="W19" s="58"/>
      <c r="X19" s="58"/>
    </row>
    <row r="20" spans="2:24" x14ac:dyDescent="0.2">
      <c r="B20" s="8" t="str">
        <f>IF(B19&gt;='User input'!F$24,"",B19+1)</f>
        <v/>
      </c>
      <c r="C20" s="29" t="str">
        <f>IF(B20&gt;'User input'!F$24,"",'User input'!F$50^B20)</f>
        <v/>
      </c>
      <c r="D20" s="8" t="str">
        <f>IF(B20&gt;'User input'!F$24,"",IF(B20=0,'User input'!F$14,D19+1))</f>
        <v/>
      </c>
      <c r="E20" s="28" t="str">
        <f>IF(B20&gt;'User input'!F$24,"",IF(B20=0,'User input'!F$19,E19+'User input'!F$43))</f>
        <v/>
      </c>
      <c r="F20" s="57" t="str">
        <f>IF(B20&gt;'User input'!F$24,"",EXP('User input'!G$9*(D20-'User input'!F$14)+'User input'!H$9*((E20-'User input'!F$19)/100))*'User input'!F$21*(1+'User input'!F$45)^B20)</f>
        <v/>
      </c>
      <c r="G20" s="27" t="str">
        <f>IF(B20&gt;'User input'!F$24,"",IF(B20&gt;0,F19*'User input'!L$23,0))</f>
        <v/>
      </c>
      <c r="H20" s="27" t="str">
        <f>IF(B20&gt;'User input'!F$24,"",IF(B20&gt;0,F19-F20,0))</f>
        <v/>
      </c>
      <c r="I20" s="52" t="str">
        <f>IF(B20&gt;'User input'!F$24,"",IF(B20&gt;7,0,IF(SUM(I$11:I19)&lt;1,IF(B20='User input'!F$24,'User input'!L41/2,'User input'!L41),0)))</f>
        <v/>
      </c>
      <c r="J20" s="27" t="str">
        <f>IF(B20&gt;'User input'!F$24,"",IF(B20=0,MIN('User input'!F$20,'User input'!L$28)+'User input'!L$31+'User input'!L$32*I20,'User input'!L$32*I20))</f>
        <v/>
      </c>
      <c r="K20" s="27" t="str">
        <f>IF(B20&gt;'User input'!F$24,"",IF(B20=0,'User input'!F$20-J20,K19-J20))</f>
        <v/>
      </c>
      <c r="L20" s="27" t="str">
        <f>IF(B20&gt;'User input'!F$24,"",IF(B20&gt;0,('User input'!F$20-'User input'!F$22)*'User input'!L$23,0))</f>
        <v/>
      </c>
      <c r="M20" s="27" t="str">
        <f>IF(B20&gt;'User input'!F$24,"",IF(B20='User input'!F$24,'User input'!F$20-'User input'!F$22,0))</f>
        <v/>
      </c>
      <c r="N20" s="27" t="str">
        <f>IF(B20&gt;'User input'!F$24,"",IF(B20=0,'User input'!F$22,IF(B20='User input'!F$24,-F20*(1-'User input'!F$46),0)))</f>
        <v/>
      </c>
      <c r="O20" s="27" t="str">
        <f>IF(B20&gt;'User input'!F$24,"",IF(B20&gt;0,'User input'!F$48*F19,0))</f>
        <v/>
      </c>
      <c r="P20" s="59" t="str">
        <f>IF(B20&gt;'User input'!F$24,"",(IF(E20&gt;'User input'!K$9,(E20-'User input'!K$9)*('User input'!F$23*(1+'User input'!F$45)^B20*'User input'!J$9*'User input'!I$9*('User input'!K$9/1000)^('User input'!J$9-1))/1000+'User input'!I$9*'User input'!F$23*(1+'User input'!F$45)^B20*('User input'!K$9/1000)^'User input'!J$9,'User input'!I$9*'User input'!F$23*(1+'User input'!F$45)^B20*(E20/1000)^'User input'!J$9))*'User input'!F$47)</f>
        <v/>
      </c>
      <c r="Q20" s="27" t="str">
        <f>IF(B20&gt;'User input'!F$24,"",IF(B20&gt;0,(P20-P19),0))</f>
        <v/>
      </c>
      <c r="R20" s="32" t="str">
        <f>IF(B20&gt;'User input'!F$24,"",Q20/'User input'!F$43)</f>
        <v/>
      </c>
      <c r="S20" s="27" t="str">
        <f>IF(B20&gt;'User input'!F$24,"",(J20+L20+O20+Q20)*('User input'!L$25+'User input'!L$26)-IF(B20='User input'!F$24,(F20-K20)*'User input'!L$25,0))</f>
        <v/>
      </c>
      <c r="T20" s="27" t="str">
        <f>IF(B20&gt;'User input'!F$24,"",L20+M20+N20+O20+Q20-S20)</f>
        <v/>
      </c>
      <c r="U20" s="27" t="str">
        <f>IF(B20&gt;'User input'!F$24,"",C20*T20)</f>
        <v/>
      </c>
      <c r="W20" s="58"/>
      <c r="X20" s="58"/>
    </row>
    <row r="21" spans="2:24" x14ac:dyDescent="0.2">
      <c r="B21" s="8" t="str">
        <f>IF(B20&gt;='User input'!F$24,"",B20+1)</f>
        <v/>
      </c>
      <c r="C21" s="29" t="str">
        <f>IF(B21&gt;'User input'!F$24,"",'User input'!F$50^B21)</f>
        <v/>
      </c>
      <c r="D21" s="8" t="str">
        <f>IF(B21&gt;'User input'!F$24,"",IF(B21=0,'User input'!F$14,D20+1))</f>
        <v/>
      </c>
      <c r="E21" s="28" t="str">
        <f>IF(B21&gt;'User input'!F$24,"",IF(B21=0,'User input'!F$19,E20+'User input'!F$43))</f>
        <v/>
      </c>
      <c r="F21" s="57" t="str">
        <f>IF(B21&gt;'User input'!F$24,"",EXP('User input'!G$9*(D21-'User input'!F$14)+'User input'!H$9*((E21-'User input'!F$19)/100))*'User input'!F$21*(1+'User input'!F$45)^B21)</f>
        <v/>
      </c>
      <c r="G21" s="27" t="str">
        <f>IF(B21&gt;'User input'!F$24,"",IF(B21&gt;0,F20*'User input'!L$23,0))</f>
        <v/>
      </c>
      <c r="H21" s="27" t="str">
        <f>IF(B21&gt;'User input'!F$24,"",IF(B21&gt;0,F20-F21,0))</f>
        <v/>
      </c>
      <c r="I21" s="52" t="str">
        <f>IF(B21&gt;'User input'!F$24,"",IF(B21&gt;7,0,IF(SUM(I$11:I20)&lt;1,IF(B21='User input'!F$24,'User input'!L42/2,'User input'!L42),0)))</f>
        <v/>
      </c>
      <c r="J21" s="27" t="str">
        <f>IF(B21&gt;'User input'!F$24,"",IF(B21=0,MIN('User input'!F$20,'User input'!L$28)+'User input'!L$31+'User input'!L$32*I21,'User input'!L$32*I21))</f>
        <v/>
      </c>
      <c r="K21" s="27" t="str">
        <f>IF(B21&gt;'User input'!F$24,"",IF(B21=0,'User input'!F$20-J21,K20-J21))</f>
        <v/>
      </c>
      <c r="L21" s="27" t="str">
        <f>IF(B21&gt;'User input'!F$24,"",IF(B21&gt;0,('User input'!F$20-'User input'!F$22)*'User input'!L$23,0))</f>
        <v/>
      </c>
      <c r="M21" s="27" t="str">
        <f>IF(B21&gt;'User input'!F$24,"",IF(B21='User input'!F$24,'User input'!F$20-'User input'!F$22,0))</f>
        <v/>
      </c>
      <c r="N21" s="27" t="str">
        <f>IF(B21&gt;'User input'!F$24,"",IF(B21=0,'User input'!F$22,IF(B21='User input'!F$24,-F21*(1-'User input'!F$46),0)))</f>
        <v/>
      </c>
      <c r="O21" s="27" t="str">
        <f>IF(B21&gt;'User input'!F$24,"",IF(B21&gt;0,'User input'!F$48*F20,0))</f>
        <v/>
      </c>
      <c r="P21" s="59" t="str">
        <f>IF(B21&gt;'User input'!F$24,"",(IF(E21&gt;'User input'!K$9,(E21-'User input'!K$9)*('User input'!F$23*(1+'User input'!F$45)^B21*'User input'!J$9*'User input'!I$9*('User input'!K$9/1000)^('User input'!J$9-1))/1000+'User input'!I$9*'User input'!F$23*(1+'User input'!F$45)^B21*('User input'!K$9/1000)^'User input'!J$9,'User input'!I$9*'User input'!F$23*(1+'User input'!F$45)^B21*(E21/1000)^'User input'!J$9))*'User input'!F$47)</f>
        <v/>
      </c>
      <c r="Q21" s="27" t="str">
        <f>IF(B21&gt;'User input'!F$24,"",IF(B21&gt;0,(P21-P20),0))</f>
        <v/>
      </c>
      <c r="R21" s="32" t="str">
        <f>IF(B21&gt;'User input'!F$24,"",Q21/'User input'!F$43)</f>
        <v/>
      </c>
      <c r="S21" s="27" t="str">
        <f>IF(B21&gt;'User input'!F$24,"",(J21+L21+O21+Q21)*('User input'!L$25+'User input'!L$26)-IF(B21='User input'!F$24,(F21-K21)*'User input'!L$25,0))</f>
        <v/>
      </c>
      <c r="T21" s="27" t="str">
        <f>IF(B21&gt;'User input'!F$24,"",L21+M21+N21+O21+Q21-S21)</f>
        <v/>
      </c>
      <c r="U21" s="27" t="str">
        <f>IF(B21&gt;'User input'!F$24,"",C21*T21)</f>
        <v/>
      </c>
      <c r="W21" s="58"/>
      <c r="X21" s="58"/>
    </row>
    <row r="22" spans="2:24" x14ac:dyDescent="0.2">
      <c r="B22" s="8" t="str">
        <f>IF(B21&gt;='User input'!F$24,"",B21+1)</f>
        <v/>
      </c>
      <c r="C22" s="29" t="str">
        <f>IF(B22&gt;'User input'!F$24,"",'User input'!F$50^B22)</f>
        <v/>
      </c>
      <c r="D22" s="8" t="str">
        <f>IF(B22&gt;'User input'!F$24,"",IF(B22=0,'User input'!F$14,D21+1))</f>
        <v/>
      </c>
      <c r="E22" s="28" t="str">
        <f>IF(B22&gt;'User input'!F$24,"",IF(B22=0,'User input'!F$19,E21+'User input'!F$43))</f>
        <v/>
      </c>
      <c r="F22" s="57" t="str">
        <f>IF(B22&gt;'User input'!F$24,"",EXP('User input'!G$9*(D22-'User input'!F$14)+'User input'!H$9*((E22-'User input'!F$19)/100))*'User input'!F$21*(1+'User input'!F$45)^B22)</f>
        <v/>
      </c>
      <c r="G22" s="27" t="str">
        <f>IF(B22&gt;'User input'!F$24,"",IF(B22&gt;0,F21*'User input'!L$23,0))</f>
        <v/>
      </c>
      <c r="H22" s="27" t="str">
        <f>IF(B22&gt;'User input'!F$24,"",IF(B22&gt;0,F21-F22,0))</f>
        <v/>
      </c>
      <c r="I22" s="52" t="str">
        <f>IF(B22&gt;'User input'!F$24,"",IF(B22&gt;7,0,IF(SUM(I$11:I21)&lt;1,IF(B22='User input'!F$24,'User input'!L43/2,'User input'!L43),0)))</f>
        <v/>
      </c>
      <c r="J22" s="27" t="str">
        <f>IF(B22&gt;'User input'!F$24,"",IF(B22=0,MIN('User input'!F$20,'User input'!L$28)+'User input'!L$31+'User input'!L$32*I22,'User input'!L$32*I22))</f>
        <v/>
      </c>
      <c r="K22" s="27" t="str">
        <f>IF(B22&gt;'User input'!F$24,"",IF(B22=0,'User input'!F$20-J22,K21-J22))</f>
        <v/>
      </c>
      <c r="L22" s="27" t="str">
        <f>IF(B22&gt;'User input'!F$24,"",IF(B22&gt;0,('User input'!F$20-'User input'!F$22)*'User input'!L$23,0))</f>
        <v/>
      </c>
      <c r="M22" s="27" t="str">
        <f>IF(B22&gt;'User input'!F$24,"",IF(B22='User input'!F$24,'User input'!F$20-'User input'!F$22,0))</f>
        <v/>
      </c>
      <c r="N22" s="27" t="str">
        <f>IF(B22&gt;'User input'!F$24,"",IF(B22=0,'User input'!F$22,IF(B22='User input'!F$24,-F22*(1-'User input'!F$46),0)))</f>
        <v/>
      </c>
      <c r="O22" s="27" t="str">
        <f>IF(B22&gt;'User input'!F$24,"",IF(B22&gt;0,'User input'!F$48*F21,0))</f>
        <v/>
      </c>
      <c r="P22" s="59" t="str">
        <f>IF(B22&gt;'User input'!F$24,"",(IF(E22&gt;'User input'!K$9,(E22-'User input'!K$9)*('User input'!F$23*(1+'User input'!F$45)^B22*'User input'!J$9*'User input'!I$9*('User input'!K$9/1000)^('User input'!J$9-1))/1000+'User input'!I$9*'User input'!F$23*(1+'User input'!F$45)^B22*('User input'!K$9/1000)^'User input'!J$9,'User input'!I$9*'User input'!F$23*(1+'User input'!F$45)^B22*(E22/1000)^'User input'!J$9))*'User input'!F$47)</f>
        <v/>
      </c>
      <c r="Q22" s="27" t="str">
        <f>IF(B22&gt;'User input'!F$24,"",IF(B22&gt;0,(P22-P21),0))</f>
        <v/>
      </c>
      <c r="R22" s="32" t="str">
        <f>IF(B22&gt;'User input'!F$24,"",Q22/'User input'!F$43)</f>
        <v/>
      </c>
      <c r="S22" s="27" t="str">
        <f>IF(B22&gt;'User input'!F$24,"",(J22+L22+O22+Q22)*('User input'!L$25+'User input'!L$26)-IF(B22='User input'!F$24,(F22-K22)*'User input'!L$25,0))</f>
        <v/>
      </c>
      <c r="T22" s="27" t="str">
        <f>IF(B22&gt;'User input'!F$24,"",L22+M22+N22+O22+Q22-S22)</f>
        <v/>
      </c>
      <c r="U22" s="27" t="str">
        <f>IF(B22&gt;'User input'!F$24,"",C22*T22)</f>
        <v/>
      </c>
      <c r="W22" s="58"/>
      <c r="X22" s="58"/>
    </row>
    <row r="23" spans="2:24" x14ac:dyDescent="0.2">
      <c r="B23" s="8" t="str">
        <f>IF(B22&gt;='User input'!F$24,"",B22+1)</f>
        <v/>
      </c>
      <c r="C23" s="29" t="str">
        <f>IF(B23&gt;'User input'!F$24,"",'User input'!F$50^B23)</f>
        <v/>
      </c>
      <c r="D23" s="8" t="str">
        <f>IF(B23&gt;'User input'!F$24,"",IF(B23=0,'User input'!F$14,D22+1))</f>
        <v/>
      </c>
      <c r="E23" s="28" t="str">
        <f>IF(B23&gt;'User input'!F$24,"",IF(B23=0,'User input'!F$19,E22+'User input'!F$43))</f>
        <v/>
      </c>
      <c r="F23" s="57" t="str">
        <f>IF(B23&gt;'User input'!F$24,"",EXP('User input'!G$9*(D23-'User input'!F$14)+'User input'!H$9*((E23-'User input'!F$19)/100))*'User input'!F$21*(1+'User input'!F$45)^B23)</f>
        <v/>
      </c>
      <c r="G23" s="27" t="str">
        <f>IF(B23&gt;'User input'!F$24,"",IF(B23&gt;0,F22*'User input'!L$23,0))</f>
        <v/>
      </c>
      <c r="H23" s="27" t="str">
        <f>IF(B23&gt;'User input'!F$24,"",IF(B23&gt;0,F22-F23,0))</f>
        <v/>
      </c>
      <c r="I23" s="52" t="str">
        <f>IF(B23&gt;'User input'!F$24,"",IF(B23&gt;7,0,IF(SUM(I$11:I22)&lt;1,IF(B23='User input'!F$24,'User input'!L44/2,'User input'!L44),0)))</f>
        <v/>
      </c>
      <c r="J23" s="27" t="str">
        <f>IF(B23&gt;'User input'!F$24,"",IF(B23=0,MIN('User input'!F$20,'User input'!L$28)+'User input'!L$31+'User input'!L$32*I23,'User input'!L$32*I23))</f>
        <v/>
      </c>
      <c r="K23" s="27" t="str">
        <f>IF(B23&gt;'User input'!F$24,"",IF(B23=0,'User input'!F$20-J23,K22-J23))</f>
        <v/>
      </c>
      <c r="L23" s="27" t="str">
        <f>IF(B23&gt;'User input'!F$24,"",IF(B23&gt;0,('User input'!F$20-'User input'!F$22)*'User input'!L$23,0))</f>
        <v/>
      </c>
      <c r="M23" s="27" t="str">
        <f>IF(B23&gt;'User input'!F$24,"",IF(B23='User input'!F$24,'User input'!F$20-'User input'!F$22,0))</f>
        <v/>
      </c>
      <c r="N23" s="27" t="str">
        <f>IF(B23&gt;'User input'!F$24,"",IF(B23=0,'User input'!F$22,IF(B23='User input'!F$24,-F23*(1-'User input'!F$46),0)))</f>
        <v/>
      </c>
      <c r="O23" s="27" t="str">
        <f>IF(B23&gt;'User input'!F$24,"",IF(B23&gt;0,'User input'!F$48*F22,0))</f>
        <v/>
      </c>
      <c r="P23" s="59" t="str">
        <f>IF(B23&gt;'User input'!F$24,"",(IF(E23&gt;'User input'!K$9,(E23-'User input'!K$9)*('User input'!F$23*(1+'User input'!F$45)^B23*'User input'!J$9*'User input'!I$9*('User input'!K$9/1000)^('User input'!J$9-1))/1000+'User input'!I$9*'User input'!F$23*(1+'User input'!F$45)^B23*('User input'!K$9/1000)^'User input'!J$9,'User input'!I$9*'User input'!F$23*(1+'User input'!F$45)^B23*(E23/1000)^'User input'!J$9))*'User input'!F$47)</f>
        <v/>
      </c>
      <c r="Q23" s="27" t="str">
        <f>IF(B23&gt;'User input'!F$24,"",IF(B23&gt;0,(P23-P22),0))</f>
        <v/>
      </c>
      <c r="R23" s="32" t="str">
        <f>IF(B23&gt;'User input'!F$24,"",Q23/'User input'!F$43)</f>
        <v/>
      </c>
      <c r="S23" s="27" t="str">
        <f>IF(B23&gt;'User input'!F$24,"",(J23+L23+O23+Q23)*('User input'!L$25+'User input'!L$26)-IF(B23='User input'!F$24,(F23-K23)*'User input'!L$25,0))</f>
        <v/>
      </c>
      <c r="T23" s="27" t="str">
        <f>IF(B23&gt;'User input'!F$24,"",L23+M23+N23+O23+Q23-S23)</f>
        <v/>
      </c>
      <c r="U23" s="27" t="str">
        <f>IF(B23&gt;'User input'!F$24,"",C23*T23)</f>
        <v/>
      </c>
      <c r="W23" s="58"/>
      <c r="X23" s="58"/>
    </row>
    <row r="24" spans="2:24" x14ac:dyDescent="0.2">
      <c r="B24" s="8" t="str">
        <f>IF(B23&gt;='User input'!F$24,"",B23+1)</f>
        <v/>
      </c>
      <c r="C24" s="29" t="str">
        <f>IF(B24&gt;'User input'!F$24,"",'User input'!F$50^B24)</f>
        <v/>
      </c>
      <c r="D24" s="8" t="str">
        <f>IF(B24&gt;'User input'!F$24,"",IF(B24=0,'User input'!F$14,D23+1))</f>
        <v/>
      </c>
      <c r="E24" s="28" t="str">
        <f>IF(B24&gt;'User input'!F$24,"",IF(B24=0,'User input'!F$19,E23+'User input'!F$43))</f>
        <v/>
      </c>
      <c r="F24" s="57" t="str">
        <f>IF(B24&gt;'User input'!F$24,"",EXP('User input'!G$9*(D24-'User input'!F$14)+'User input'!H$9*((E24-'User input'!F$19)/100))*'User input'!F$21*(1+'User input'!F$45)^B24)</f>
        <v/>
      </c>
      <c r="G24" s="27" t="str">
        <f>IF(B24&gt;'User input'!F$24,"",IF(B24&gt;0,F23*'User input'!L$23,0))</f>
        <v/>
      </c>
      <c r="H24" s="27" t="str">
        <f>IF(B24&gt;'User input'!F$24,"",IF(B24&gt;0,F23-F24,0))</f>
        <v/>
      </c>
      <c r="I24" s="52" t="str">
        <f>IF(B24&gt;'User input'!F$24,"",IF(B24&gt;7,0,IF(SUM(I$11:I23)&lt;1,IF(B24='User input'!F$24,'User input'!L45/2,'User input'!L45),0)))</f>
        <v/>
      </c>
      <c r="J24" s="27" t="str">
        <f>IF(B24&gt;'User input'!F$24,"",IF(B24=0,MIN('User input'!F$20,'User input'!L$28)+'User input'!L$31+'User input'!L$32*I24,'User input'!L$32*I24))</f>
        <v/>
      </c>
      <c r="K24" s="27" t="str">
        <f>IF(B24&gt;'User input'!F$24,"",IF(B24=0,'User input'!F$20-J24,K23-J24))</f>
        <v/>
      </c>
      <c r="L24" s="27" t="str">
        <f>IF(B24&gt;'User input'!F$24,"",IF(B24&gt;0,('User input'!F$20-'User input'!F$22)*'User input'!L$23,0))</f>
        <v/>
      </c>
      <c r="M24" s="27" t="str">
        <f>IF(B24&gt;'User input'!F$24,"",IF(B24='User input'!F$24,'User input'!F$20-'User input'!F$22,0))</f>
        <v/>
      </c>
      <c r="N24" s="27" t="str">
        <f>IF(B24&gt;'User input'!F$24,"",IF(B24=0,'User input'!F$22,IF(B24='User input'!F$24,-F24*(1-'User input'!F$46),0)))</f>
        <v/>
      </c>
      <c r="O24" s="27" t="str">
        <f>IF(B24&gt;'User input'!F$24,"",IF(B24&gt;0,'User input'!F$48*F23,0))</f>
        <v/>
      </c>
      <c r="P24" s="59" t="str">
        <f>IF(B24&gt;'User input'!F$24,"",(IF(E24&gt;'User input'!K$9,(E24-'User input'!K$9)*('User input'!F$23*(1+'User input'!F$45)^B24*'User input'!J$9*'User input'!I$9*('User input'!K$9/1000)^('User input'!J$9-1))/1000+'User input'!I$9*'User input'!F$23*(1+'User input'!F$45)^B24*('User input'!K$9/1000)^'User input'!J$9,'User input'!I$9*'User input'!F$23*(1+'User input'!F$45)^B24*(E24/1000)^'User input'!J$9))*'User input'!F$47)</f>
        <v/>
      </c>
      <c r="Q24" s="27" t="str">
        <f>IF(B24&gt;'User input'!F$24,"",IF(B24&gt;0,(P24-P23),0))</f>
        <v/>
      </c>
      <c r="R24" s="32" t="str">
        <f>IF(B24&gt;'User input'!F$24,"",Q24/'User input'!F$43)</f>
        <v/>
      </c>
      <c r="S24" s="27" t="str">
        <f>IF(B24&gt;'User input'!F$24,"",(J24+L24+O24+Q24)*('User input'!L$25+'User input'!L$26)-IF(B24='User input'!F$24,(F24-K24)*'User input'!L$25,0))</f>
        <v/>
      </c>
      <c r="T24" s="27" t="str">
        <f>IF(B24&gt;'User input'!F$24,"",L24+M24+N24+O24+Q24-S24)</f>
        <v/>
      </c>
      <c r="U24" s="27" t="str">
        <f>IF(B24&gt;'User input'!F$24,"",C24*T24)</f>
        <v/>
      </c>
      <c r="W24" s="58"/>
      <c r="X24" s="58"/>
    </row>
    <row r="25" spans="2:24" x14ac:dyDescent="0.2">
      <c r="B25" s="8" t="str">
        <f>IF(B24&gt;='User input'!F$24,"",B24+1)</f>
        <v/>
      </c>
      <c r="C25" s="29" t="str">
        <f>IF(B25&gt;'User input'!F$24,"",'User input'!F$50^B25)</f>
        <v/>
      </c>
      <c r="D25" s="8" t="str">
        <f>IF(B25&gt;'User input'!F$24,"",IF(B25=0,'User input'!F$14,D24+1))</f>
        <v/>
      </c>
      <c r="E25" s="28" t="str">
        <f>IF(B25&gt;'User input'!F$24,"",IF(B25=0,'User input'!F$19,E24+'User input'!F$43))</f>
        <v/>
      </c>
      <c r="F25" s="57" t="str">
        <f>IF(B25&gt;'User input'!F$24,"",EXP('User input'!G$9*(D25-'User input'!F$14)+'User input'!H$9*((E25-'User input'!F$19)/100))*'User input'!F$21*(1+'User input'!F$45)^B25)</f>
        <v/>
      </c>
      <c r="G25" s="27" t="str">
        <f>IF(B25&gt;'User input'!F$24,"",IF(B25&gt;0,F24*'User input'!L$23,0))</f>
        <v/>
      </c>
      <c r="H25" s="27" t="str">
        <f>IF(B25&gt;'User input'!F$24,"",IF(B25&gt;0,F24-F25,0))</f>
        <v/>
      </c>
      <c r="I25" s="52" t="str">
        <f>IF(B25&gt;'User input'!F$24,"",IF(B25&gt;7,0,IF(SUM(I$11:I24)&lt;1,IF(B25='User input'!F$24,'User input'!L46/2,'User input'!L46),0)))</f>
        <v/>
      </c>
      <c r="J25" s="27" t="str">
        <f>IF(B25&gt;'User input'!F$24,"",IF(B25=0,MIN('User input'!F$20,'User input'!L$28)+'User input'!L$31+'User input'!L$32*I25,'User input'!L$32*I25))</f>
        <v/>
      </c>
      <c r="K25" s="27" t="str">
        <f>IF(B25&gt;'User input'!F$24,"",IF(B25=0,'User input'!F$20-J25,K24-J25))</f>
        <v/>
      </c>
      <c r="L25" s="27" t="str">
        <f>IF(B25&gt;'User input'!F$24,"",IF(B25&gt;0,('User input'!F$20-'User input'!F$22)*'User input'!L$23,0))</f>
        <v/>
      </c>
      <c r="M25" s="27" t="str">
        <f>IF(B25&gt;'User input'!F$24,"",IF(B25='User input'!F$24,'User input'!F$20-'User input'!F$22,0))</f>
        <v/>
      </c>
      <c r="N25" s="27" t="str">
        <f>IF(B25&gt;'User input'!F$24,"",IF(B25=0,'User input'!F$22,IF(B25='User input'!F$24,-F25*(1-'User input'!F$46),0)))</f>
        <v/>
      </c>
      <c r="O25" s="27" t="str">
        <f>IF(B25&gt;'User input'!F$24,"",IF(B25&gt;0,'User input'!F$48*F24,0))</f>
        <v/>
      </c>
      <c r="P25" s="59" t="str">
        <f>IF(B25&gt;'User input'!F$24,"",(IF(E25&gt;'User input'!K$9,(E25-'User input'!K$9)*('User input'!F$23*(1+'User input'!F$45)^B25*'User input'!J$9*'User input'!I$9*('User input'!K$9/1000)^('User input'!J$9-1))/1000+'User input'!I$9*'User input'!F$23*(1+'User input'!F$45)^B25*('User input'!K$9/1000)^'User input'!J$9,'User input'!I$9*'User input'!F$23*(1+'User input'!F$45)^B25*(E25/1000)^'User input'!J$9))*'User input'!F$47)</f>
        <v/>
      </c>
      <c r="Q25" s="27" t="str">
        <f>IF(B25&gt;'User input'!F$24,"",IF(B25&gt;0,(P25-P24),0))</f>
        <v/>
      </c>
      <c r="R25" s="32" t="str">
        <f>IF(B25&gt;'User input'!F$24,"",Q25/'User input'!F$43)</f>
        <v/>
      </c>
      <c r="S25" s="27" t="str">
        <f>IF(B25&gt;'User input'!F$24,"",(J25+L25+O25+Q25)*('User input'!L$25+'User input'!L$26)-IF(B25='User input'!F$24,(F25-K25)*'User input'!L$25,0))</f>
        <v/>
      </c>
      <c r="T25" s="27" t="str">
        <f>IF(B25&gt;'User input'!F$24,"",L25+M25+N25+O25+Q25-S25)</f>
        <v/>
      </c>
      <c r="U25" s="27" t="str">
        <f>IF(B25&gt;'User input'!F$24,"",C25*T25)</f>
        <v/>
      </c>
      <c r="W25" s="58"/>
      <c r="X25" s="58"/>
    </row>
    <row r="26" spans="2:24" x14ac:dyDescent="0.2">
      <c r="B26" s="8" t="str">
        <f>IF(B25&gt;='User input'!F$24,"",B25+1)</f>
        <v/>
      </c>
      <c r="C26" s="29" t="str">
        <f>IF(B26&gt;'User input'!F$24,"",'User input'!F$50^B26)</f>
        <v/>
      </c>
      <c r="D26" s="8" t="str">
        <f>IF(B26&gt;'User input'!F$24,"",IF(B26=0,'User input'!F$14,D25+1))</f>
        <v/>
      </c>
      <c r="E26" s="28" t="str">
        <f>IF(B26&gt;'User input'!F$24,"",IF(B26=0,'User input'!F$19,E25+'User input'!F$43))</f>
        <v/>
      </c>
      <c r="F26" s="57" t="str">
        <f>IF(B26&gt;'User input'!F$24,"",EXP('User input'!G$9*(D26-'User input'!F$14)+'User input'!H$9*((E26-'User input'!F$19)/100))*'User input'!F$21*(1+'User input'!F$45)^B26)</f>
        <v/>
      </c>
      <c r="G26" s="27" t="str">
        <f>IF(B26&gt;'User input'!F$24,"",IF(B26&gt;0,F25*'User input'!L$23,0))</f>
        <v/>
      </c>
      <c r="H26" s="27" t="str">
        <f>IF(B26&gt;'User input'!F$24,"",IF(B26&gt;0,F25-F26,0))</f>
        <v/>
      </c>
      <c r="I26" s="52" t="str">
        <f>IF(B26&gt;'User input'!F$24,"",IF(B26&gt;7,0,IF(SUM(I$11:I25)&lt;1,IF(B26='User input'!F$24,'User input'!L47/2,'User input'!L47),0)))</f>
        <v/>
      </c>
      <c r="J26" s="27" t="str">
        <f>IF(B26&gt;'User input'!F$24,"",IF(B26=0,MIN('User input'!F$20,'User input'!L$28)+'User input'!L$31+'User input'!L$32*I26,'User input'!L$32*I26))</f>
        <v/>
      </c>
      <c r="K26" s="27" t="str">
        <f>IF(B26&gt;'User input'!F$24,"",IF(B26=0,'User input'!F$20-J26,K25-J26))</f>
        <v/>
      </c>
      <c r="L26" s="27" t="str">
        <f>IF(B26&gt;'User input'!F$24,"",IF(B26&gt;0,('User input'!F$20-'User input'!F$22)*'User input'!L$23,0))</f>
        <v/>
      </c>
      <c r="M26" s="27" t="str">
        <f>IF(B26&gt;'User input'!F$24,"",IF(B26='User input'!F$24,'User input'!F$20-'User input'!F$22,0))</f>
        <v/>
      </c>
      <c r="N26" s="27" t="str">
        <f>IF(B26&gt;'User input'!F$24,"",IF(B26=0,'User input'!F$22,IF(B26='User input'!F$24,-F26*(1-'User input'!F$46),0)))</f>
        <v/>
      </c>
      <c r="O26" s="27" t="str">
        <f>IF(B26&gt;'User input'!F$24,"",IF(B26&gt;0,'User input'!F$48*F25,0))</f>
        <v/>
      </c>
      <c r="P26" s="59" t="str">
        <f>IF(B26&gt;'User input'!F$24,"",(IF(E26&gt;'User input'!K$9,(E26-'User input'!K$9)*('User input'!F$23*(1+'User input'!F$45)^B26*'User input'!J$9*'User input'!I$9*('User input'!K$9/1000)^('User input'!J$9-1))/1000+'User input'!I$9*'User input'!F$23*(1+'User input'!F$45)^B26*('User input'!K$9/1000)^'User input'!J$9,'User input'!I$9*'User input'!F$23*(1+'User input'!F$45)^B26*(E26/1000)^'User input'!J$9))*'User input'!F$47)</f>
        <v/>
      </c>
      <c r="Q26" s="27" t="str">
        <f>IF(B26&gt;'User input'!F$24,"",IF(B26&gt;0,(P26-P25),0))</f>
        <v/>
      </c>
      <c r="R26" s="32" t="str">
        <f>IF(B26&gt;'User input'!F$24,"",Q26/'User input'!F$43)</f>
        <v/>
      </c>
      <c r="S26" s="27" t="str">
        <f>IF(B26&gt;'User input'!F$24,"",(J26+L26+O26+Q26)*('User input'!L$25+'User input'!L$26)-IF(B26='User input'!F$24,(F26-K26)*'User input'!L$25,0))</f>
        <v/>
      </c>
      <c r="T26" s="27" t="str">
        <f>IF(B26&gt;'User input'!F$24,"",L26+M26+N26+O26+Q26-S26)</f>
        <v/>
      </c>
      <c r="U26" s="27" t="str">
        <f>IF(B26&gt;'User input'!F$24,"",C26*T26)</f>
        <v/>
      </c>
      <c r="W26" s="58"/>
      <c r="X26" s="58"/>
    </row>
    <row r="27" spans="2:24" x14ac:dyDescent="0.2">
      <c r="B27" s="8" t="str">
        <f>IF(B26&gt;='User input'!F$24,"",B26+1)</f>
        <v/>
      </c>
      <c r="C27" s="29" t="str">
        <f>IF(B27&gt;'User input'!F$24,"",'User input'!F$50^B27)</f>
        <v/>
      </c>
      <c r="D27" s="8" t="str">
        <f>IF(B27&gt;'User input'!F$24,"",IF(B27=0,'User input'!F$14,D26+1))</f>
        <v/>
      </c>
      <c r="E27" s="28" t="str">
        <f>IF(B27&gt;'User input'!F$24,"",IF(B27=0,'User input'!F$19,E26+'User input'!F$43))</f>
        <v/>
      </c>
      <c r="F27" s="57" t="str">
        <f>IF(B27&gt;'User input'!F$24,"",EXP('User input'!G$9*(D27-'User input'!F$14)+'User input'!H$9*((E27-'User input'!F$19)/100))*'User input'!F$21*(1+'User input'!F$45)^B27)</f>
        <v/>
      </c>
      <c r="G27" s="27" t="str">
        <f>IF(B27&gt;'User input'!F$24,"",IF(B27&gt;0,F26*'User input'!L$23,0))</f>
        <v/>
      </c>
      <c r="H27" s="27" t="str">
        <f>IF(B27&gt;'User input'!F$24,"",IF(B27&gt;0,F26-F27,0))</f>
        <v/>
      </c>
      <c r="I27" s="52" t="str">
        <f>IF(B27&gt;'User input'!F$24,"",IF(B27&gt;7,0,IF(SUM(I$11:I26)&lt;1,IF(B27='User input'!F$24,'User input'!L48/2,'User input'!L48),0)))</f>
        <v/>
      </c>
      <c r="J27" s="27" t="str">
        <f>IF(B27&gt;'User input'!F$24,"",IF(B27=0,MIN('User input'!F$20,'User input'!L$28)+'User input'!L$31+'User input'!L$32*I27,'User input'!L$32*I27))</f>
        <v/>
      </c>
      <c r="K27" s="27" t="str">
        <f>IF(B27&gt;'User input'!F$24,"",IF(B27=0,'User input'!F$20-J27,K26-J27))</f>
        <v/>
      </c>
      <c r="L27" s="27" t="str">
        <f>IF(B27&gt;'User input'!F$24,"",IF(B27&gt;0,('User input'!F$20-'User input'!F$22)*'User input'!L$23,0))</f>
        <v/>
      </c>
      <c r="M27" s="27" t="str">
        <f>IF(B27&gt;'User input'!F$24,"",IF(B27='User input'!F$24,'User input'!F$20-'User input'!F$22,0))</f>
        <v/>
      </c>
      <c r="N27" s="27" t="str">
        <f>IF(B27&gt;'User input'!F$24,"",IF(B27=0,'User input'!F$22,IF(B27='User input'!F$24,-F27*(1-'User input'!F$46),0)))</f>
        <v/>
      </c>
      <c r="O27" s="27" t="str">
        <f>IF(B27&gt;'User input'!F$24,"",IF(B27&gt;0,'User input'!F$48*F26,0))</f>
        <v/>
      </c>
      <c r="P27" s="59" t="str">
        <f>IF(B27&gt;'User input'!F$24,"",(IF(E27&gt;'User input'!K$9,(E27-'User input'!K$9)*('User input'!F$23*(1+'User input'!F$45)^B27*'User input'!J$9*'User input'!I$9*('User input'!K$9/1000)^('User input'!J$9-1))/1000+'User input'!I$9*'User input'!F$23*(1+'User input'!F$45)^B27*('User input'!K$9/1000)^'User input'!J$9,'User input'!I$9*'User input'!F$23*(1+'User input'!F$45)^B27*(E27/1000)^'User input'!J$9))*'User input'!F$47)</f>
        <v/>
      </c>
      <c r="Q27" s="27" t="str">
        <f>IF(B27&gt;'User input'!F$24,"",IF(B27&gt;0,(P27-P26),0))</f>
        <v/>
      </c>
      <c r="R27" s="32" t="str">
        <f>IF(B27&gt;'User input'!F$24,"",Q27/'User input'!F$43)</f>
        <v/>
      </c>
      <c r="S27" s="27" t="str">
        <f>IF(B27&gt;'User input'!F$24,"",(J27+L27+O27+Q27)*('User input'!L$25+'User input'!L$26)-IF(B27='User input'!F$24,(F27-K27)*'User input'!L$25,0))</f>
        <v/>
      </c>
      <c r="T27" s="27" t="str">
        <f>IF(B27&gt;'User input'!F$24,"",L27+M27+N27+O27+Q27-S27)</f>
        <v/>
      </c>
      <c r="U27" s="27" t="str">
        <f>IF(B27&gt;'User input'!F$24,"",C27*T27)</f>
        <v/>
      </c>
      <c r="W27" s="58" t="s">
        <v>55</v>
      </c>
      <c r="X27" s="58" t="s">
        <v>55</v>
      </c>
    </row>
    <row r="28" spans="2:24" x14ac:dyDescent="0.2">
      <c r="B28" s="8" t="str">
        <f>IF(B27&gt;='User input'!F$24,"",B27+1)</f>
        <v/>
      </c>
      <c r="C28" s="29" t="str">
        <f>IF(B28&gt;'User input'!F$24,"",'User input'!F$50^B28)</f>
        <v/>
      </c>
      <c r="D28" s="8" t="str">
        <f>IF(B28&gt;'User input'!F$24,"",IF(B28=0,'User input'!F$14,D27+1))</f>
        <v/>
      </c>
      <c r="E28" s="28" t="str">
        <f>IF(B28&gt;'User input'!F$24,"",IF(B28=0,'User input'!F$19,E27+'User input'!F$43))</f>
        <v/>
      </c>
      <c r="F28" s="57" t="str">
        <f>IF(B28&gt;'User input'!F$24,"",EXP('User input'!G$9*(D28-'User input'!F$14)+'User input'!H$9*((E28-'User input'!F$19)/100))*'User input'!F$21*(1+'User input'!F$45)^B28)</f>
        <v/>
      </c>
      <c r="G28" s="27" t="str">
        <f>IF(B28&gt;'User input'!F$24,"",IF(B28&gt;0,F27*'User input'!L$23,0))</f>
        <v/>
      </c>
      <c r="H28" s="27" t="str">
        <f>IF(B28&gt;'User input'!F$24,"",IF(B28&gt;0,F27-F28,0))</f>
        <v/>
      </c>
      <c r="I28" s="52" t="str">
        <f>IF(B28&gt;'User input'!F$24,"",IF(B28&gt;7,0,IF(SUM(I$11:I27)&lt;1,IF(B28='User input'!F$24,'User input'!L49/2,'User input'!L49),0)))</f>
        <v/>
      </c>
      <c r="J28" s="27" t="str">
        <f>IF(B28&gt;'User input'!F$24,"",IF(B28=0,MIN('User input'!F$20,'User input'!L$28)+'User input'!L$31+'User input'!L$32*I28,'User input'!L$32*I28))</f>
        <v/>
      </c>
      <c r="K28" s="27" t="str">
        <f>IF(B28&gt;'User input'!F$24,"",IF(B28=0,'User input'!F$20-J28,K27-J28))</f>
        <v/>
      </c>
      <c r="L28" s="27" t="str">
        <f>IF(B28&gt;'User input'!F$24,"",IF(B28&gt;0,('User input'!F$20-'User input'!F$22)*'User input'!L$23,0))</f>
        <v/>
      </c>
      <c r="M28" s="27" t="str">
        <f>IF(B28&gt;'User input'!F$24,"",IF(B28='User input'!F$24,'User input'!F$20-'User input'!F$22,0))</f>
        <v/>
      </c>
      <c r="N28" s="27" t="str">
        <f>IF(B28&gt;'User input'!F$24,"",IF(B28=0,'User input'!F$22,IF(B28='User input'!F$24,-F28*(1-'User input'!F$46),0)))</f>
        <v/>
      </c>
      <c r="O28" s="27" t="str">
        <f>IF(B28&gt;'User input'!F$24,"",IF(B28&gt;0,'User input'!F$48*F27,0))</f>
        <v/>
      </c>
      <c r="P28" s="59" t="str">
        <f>IF(B28&gt;'User input'!F$24,"",(IF(E28&gt;'User input'!K$9,(E28-'User input'!K$9)*('User input'!F$23*(1+'User input'!F$45)^B28*'User input'!J$9*'User input'!I$9*('User input'!K$9/1000)^('User input'!J$9-1))/1000+'User input'!I$9*'User input'!F$23*(1+'User input'!F$45)^B28*('User input'!K$9/1000)^'User input'!J$9,'User input'!I$9*'User input'!F$23*(1+'User input'!F$45)^B28*(E28/1000)^'User input'!J$9))*'User input'!F$47)</f>
        <v/>
      </c>
      <c r="Q28" s="27" t="str">
        <f>IF(B28&gt;'User input'!F$24,"",IF(B28&gt;0,(P28-P27),0))</f>
        <v/>
      </c>
      <c r="R28" s="32" t="str">
        <f>IF(B28&gt;'User input'!F$24,"",Q28/'User input'!F$43)</f>
        <v/>
      </c>
      <c r="S28" s="27" t="str">
        <f>IF(B28&gt;'User input'!F$24,"",(J28+L28+O28+Q28)*('User input'!L$25+'User input'!L$26)-IF(B28='User input'!F$24,(F28-K28)*'User input'!L$25,0))</f>
        <v/>
      </c>
      <c r="T28" s="27" t="str">
        <f>IF(B28&gt;'User input'!F$24,"",L28+M28+N28+O28+Q28-S28)</f>
        <v/>
      </c>
      <c r="U28" s="27" t="str">
        <f>IF(B28&gt;'User input'!F$24,"",C28*T28)</f>
        <v/>
      </c>
      <c r="W28" s="58" t="s">
        <v>55</v>
      </c>
      <c r="X28" s="58" t="s">
        <v>55</v>
      </c>
    </row>
    <row r="29" spans="2:24" x14ac:dyDescent="0.2">
      <c r="B29" s="8" t="str">
        <f>IF(B28&gt;='User input'!F$24,"",B28+1)</f>
        <v/>
      </c>
      <c r="C29" s="29" t="str">
        <f>IF(B29&gt;'User input'!F$24,"",'User input'!F$50^B29)</f>
        <v/>
      </c>
      <c r="D29" s="8" t="str">
        <f>IF(B29&gt;'User input'!F$24,"",IF(B29=0,'User input'!F$14,D28+1))</f>
        <v/>
      </c>
      <c r="E29" s="28" t="str">
        <f>IF(B29&gt;'User input'!F$24,"",IF(B29=0,'User input'!F$19,E28+'User input'!F$43))</f>
        <v/>
      </c>
      <c r="F29" s="57" t="str">
        <f>IF(B29&gt;'User input'!F$24,"",EXP('User input'!G$9*(D29-'User input'!F$14)+'User input'!H$9*((E29-'User input'!F$19)/100))*'User input'!F$21*(1+'User input'!F$45)^B29)</f>
        <v/>
      </c>
      <c r="G29" s="27" t="str">
        <f>IF(B29&gt;'User input'!F$24,"",IF(B29&gt;0,F28*'User input'!L$23,0))</f>
        <v/>
      </c>
      <c r="H29" s="27" t="str">
        <f>IF(B29&gt;'User input'!F$24,"",IF(B29&gt;0,F28-F29,0))</f>
        <v/>
      </c>
      <c r="I29" s="52" t="str">
        <f>IF(B29&gt;'User input'!F$24,"",IF(B29&gt;7,0,IF(SUM(I$11:I28)&lt;1,IF(B29='User input'!F$24,'User input'!L50/2,'User input'!L50),0)))</f>
        <v/>
      </c>
      <c r="J29" s="27" t="str">
        <f>IF(B29&gt;'User input'!F$24,"",IF(B29=0,MIN('User input'!F$20,'User input'!L$28)+'User input'!L$31+'User input'!L$32*I29,'User input'!L$32*I29))</f>
        <v/>
      </c>
      <c r="K29" s="27" t="str">
        <f>IF(B29&gt;'User input'!F$24,"",IF(B29=0,'User input'!F$20-J29,K28-J29))</f>
        <v/>
      </c>
      <c r="L29" s="27" t="str">
        <f>IF(B29&gt;'User input'!F$24,"",IF(B29&gt;0,('User input'!F$20-'User input'!F$22)*'User input'!L$23,0))</f>
        <v/>
      </c>
      <c r="M29" s="27" t="str">
        <f>IF(B29&gt;'User input'!F$24,"",IF(B29='User input'!F$24,'User input'!F$20-'User input'!F$22,0))</f>
        <v/>
      </c>
      <c r="N29" s="27" t="str">
        <f>IF(B29&gt;'User input'!F$24,"",IF(B29=0,'User input'!F$22,IF(B29='User input'!F$24,-F29*(1-'User input'!F$46),0)))</f>
        <v/>
      </c>
      <c r="O29" s="27" t="str">
        <f>IF(B29&gt;'User input'!F$24,"",IF(B29&gt;0,'User input'!F$48*F28,0))</f>
        <v/>
      </c>
      <c r="P29" s="59" t="str">
        <f>IF(B29&gt;'User input'!F$24,"",(IF(E29&gt;'User input'!K$9,(E29-'User input'!K$9)*('User input'!F$23*(1+'User input'!F$45)^B29*'User input'!J$9*'User input'!I$9*('User input'!K$9/1000)^('User input'!J$9-1))/1000+'User input'!I$9*'User input'!F$23*(1+'User input'!F$45)^B29*('User input'!K$9/1000)^'User input'!J$9,'User input'!I$9*'User input'!F$23*(1+'User input'!F$45)^B29*(E29/1000)^'User input'!J$9))*'User input'!F$47)</f>
        <v/>
      </c>
      <c r="Q29" s="27" t="str">
        <f>IF(B29&gt;'User input'!F$24,"",IF(B29&gt;0,(P29-P28),0))</f>
        <v/>
      </c>
      <c r="R29" s="32" t="str">
        <f>IF(B29&gt;'User input'!F$24,"",Q29/'User input'!F$43)</f>
        <v/>
      </c>
      <c r="S29" s="27" t="str">
        <f>IF(B29&gt;'User input'!F$24,"",(J29+L29+O29+Q29)*('User input'!L$25+'User input'!L$26)-IF(B29='User input'!F$24,(F29-K29)*'User input'!L$25,0))</f>
        <v/>
      </c>
      <c r="T29" s="27" t="str">
        <f>IF(B29&gt;'User input'!F$24,"",L29+M29+N29+O29+Q29-S29)</f>
        <v/>
      </c>
      <c r="U29" s="27" t="str">
        <f>IF(B29&gt;'User input'!F$24,"",C29*T29)</f>
        <v/>
      </c>
      <c r="W29" s="58" t="s">
        <v>55</v>
      </c>
      <c r="X29" s="58" t="s">
        <v>55</v>
      </c>
    </row>
    <row r="30" spans="2:24" x14ac:dyDescent="0.2">
      <c r="B30" s="8" t="str">
        <f>IF(B29&gt;='User input'!F$24,"",B29+1)</f>
        <v/>
      </c>
      <c r="C30" s="29" t="str">
        <f>IF(B30&gt;'User input'!F$24,"",'User input'!F$50^B30)</f>
        <v/>
      </c>
      <c r="D30" s="8" t="str">
        <f>IF(B30&gt;'User input'!F$24,"",IF(B30=0,'User input'!F$14,D29+1))</f>
        <v/>
      </c>
      <c r="E30" s="28" t="str">
        <f>IF(B30&gt;'User input'!F$24,"",IF(B30=0,'User input'!F$19,E29+'User input'!F$43))</f>
        <v/>
      </c>
      <c r="F30" s="57" t="str">
        <f>IF(B30&gt;'User input'!F$24,"",EXP('User input'!G$9*(D30-'User input'!F$14)+'User input'!H$9*((E30-'User input'!F$19)/100))*'User input'!F$21*(1+'User input'!F$45)^B30)</f>
        <v/>
      </c>
      <c r="G30" s="27" t="str">
        <f>IF(B30&gt;'User input'!F$24,"",IF(B30&gt;0,F29*'User input'!L$23,0))</f>
        <v/>
      </c>
      <c r="H30" s="27" t="str">
        <f>IF(B30&gt;'User input'!F$24,"",IF(B30&gt;0,F29-F30,0))</f>
        <v/>
      </c>
      <c r="I30" s="52" t="str">
        <f>IF(B30&gt;'User input'!F$24,"",IF(B30&gt;7,0,IF(SUM(I$11:I29)&lt;1,IF(B30='User input'!F$24,'User input'!L51/2,'User input'!L51),0)))</f>
        <v/>
      </c>
      <c r="J30" s="27" t="str">
        <f>IF(B30&gt;'User input'!F$24,"",IF(B30=0,MIN('User input'!F$20,'User input'!L$28)+'User input'!L$31+'User input'!L$32*I30,'User input'!L$32*I30))</f>
        <v/>
      </c>
      <c r="K30" s="27" t="str">
        <f>IF(B30&gt;'User input'!F$24,"",IF(B30=0,'User input'!F$20-J30,K29-J30))</f>
        <v/>
      </c>
      <c r="L30" s="27" t="str">
        <f>IF(B30&gt;'User input'!F$24,"",IF(B30&gt;0,('User input'!F$20-'User input'!F$22)*'User input'!L$23,0))</f>
        <v/>
      </c>
      <c r="M30" s="27" t="str">
        <f>IF(B30&gt;'User input'!F$24,"",IF(B30='User input'!F$24,'User input'!F$20-'User input'!F$22,0))</f>
        <v/>
      </c>
      <c r="N30" s="27" t="str">
        <f>IF(B30&gt;'User input'!F$24,"",IF(B30=0,'User input'!F$22,IF(B30='User input'!F$24,-F30*(1-'User input'!F$46),0)))</f>
        <v/>
      </c>
      <c r="O30" s="27" t="str">
        <f>IF(B30&gt;'User input'!F$24,"",IF(B30&gt;0,'User input'!F$48*F29,0))</f>
        <v/>
      </c>
      <c r="P30" s="59" t="str">
        <f>IF(B30&gt;'User input'!F$24,"",(IF(E30&gt;'User input'!K$9,(E30-'User input'!K$9)*('User input'!F$23*(1+'User input'!F$45)^B30*'User input'!J$9*'User input'!I$9*('User input'!K$9/1000)^('User input'!J$9-1))/1000+'User input'!I$9*'User input'!F$23*(1+'User input'!F$45)^B30*('User input'!K$9/1000)^'User input'!J$9,'User input'!I$9*'User input'!F$23*(1+'User input'!F$45)^B30*(E30/1000)^'User input'!J$9))*'User input'!F$47)</f>
        <v/>
      </c>
      <c r="Q30" s="27" t="str">
        <f>IF(B30&gt;'User input'!F$24,"",IF(B30&gt;0,(P30-P29),0))</f>
        <v/>
      </c>
      <c r="R30" s="32" t="str">
        <f>IF(B30&gt;'User input'!F$24,"",Q30/'User input'!F$43)</f>
        <v/>
      </c>
      <c r="S30" s="27" t="str">
        <f>IF(B30&gt;'User input'!F$24,"",(J30+L30+O30+Q30)*('User input'!L$25+'User input'!L$26)-IF(B30='User input'!F$24,(F30-K30)*'User input'!L$25,0))</f>
        <v/>
      </c>
      <c r="T30" s="27" t="str">
        <f>IF(B30&gt;'User input'!F$24,"",L30+M30+N30+O30+Q30-S30)</f>
        <v/>
      </c>
      <c r="U30" s="27" t="str">
        <f>IF(B30&gt;'User input'!F$24,"",C30*T30)</f>
        <v/>
      </c>
      <c r="W30" s="58" t="s">
        <v>55</v>
      </c>
      <c r="X30" s="58" t="s">
        <v>55</v>
      </c>
    </row>
    <row r="31" spans="2:24" x14ac:dyDescent="0.2">
      <c r="B31" s="8" t="str">
        <f>IF(B30&gt;='User input'!F$24,"",B30+1)</f>
        <v/>
      </c>
      <c r="C31" s="29" t="str">
        <f>IF(B31&gt;'User input'!F$24,"",'User input'!F$50^B31)</f>
        <v/>
      </c>
      <c r="D31" s="8" t="str">
        <f>IF(B31&gt;'User input'!F$24,"",IF(B31=0,'User input'!F$14,D30+1))</f>
        <v/>
      </c>
      <c r="E31" s="28" t="str">
        <f>IF(B31&gt;'User input'!F$24,"",IF(B31=0,'User input'!F$19,E30+'User input'!F$43))</f>
        <v/>
      </c>
      <c r="F31" s="57" t="str">
        <f>IF(B31&gt;'User input'!F$24,"",EXP('User input'!G$9*(D31-'User input'!F$14)+'User input'!H$9*((E31-'User input'!F$19)/100))*'User input'!F$21*(1+'User input'!F$45)^B31)</f>
        <v/>
      </c>
      <c r="G31" s="27" t="str">
        <f>IF(B31&gt;'User input'!F$24,"",IF(B31&gt;0,F30*'User input'!L$23,0))</f>
        <v/>
      </c>
      <c r="H31" s="27" t="str">
        <f>IF(B31&gt;'User input'!F$24,"",IF(B31&gt;0,F30-F31,0))</f>
        <v/>
      </c>
      <c r="I31" s="52" t="str">
        <f>IF(B31&gt;'User input'!F$24,"",IF(B31&gt;7,0,IF(SUM(I$11:I30)&lt;1,IF(B31='User input'!F$24,'User input'!L52/2,'User input'!L52),0)))</f>
        <v/>
      </c>
      <c r="J31" s="27" t="str">
        <f>IF(B31&gt;'User input'!F$24,"",IF(B31=0,MIN('User input'!F$20,'User input'!L$28)+'User input'!L$31+'User input'!L$32*I31,'User input'!L$32*I31))</f>
        <v/>
      </c>
      <c r="K31" s="27" t="str">
        <f>IF(B31&gt;'User input'!F$24,"",IF(B31=0,'User input'!F$20-J31,K30-J31))</f>
        <v/>
      </c>
      <c r="L31" s="27" t="str">
        <f>IF(B31&gt;'User input'!F$24,"",IF(B31&gt;0,('User input'!F$20-'User input'!F$22)*'User input'!L$23,0))</f>
        <v/>
      </c>
      <c r="M31" s="27" t="str">
        <f>IF(B31&gt;'User input'!F$24,"",IF(B31='User input'!F$24,'User input'!F$20-'User input'!F$22,0))</f>
        <v/>
      </c>
      <c r="N31" s="27" t="str">
        <f>IF(B31&gt;'User input'!F$24,"",IF(B31=0,'User input'!F$22,IF(B31='User input'!F$24,-F31*(1-'User input'!F$46),0)))</f>
        <v/>
      </c>
      <c r="O31" s="27" t="str">
        <f>IF(B31&gt;'User input'!F$24,"",IF(B31&gt;0,'User input'!F$48*F30,0))</f>
        <v/>
      </c>
      <c r="P31" s="59" t="str">
        <f>IF(B31&gt;'User input'!F$24,"",(IF(E31&gt;'User input'!K$9,(E31-'User input'!K$9)*('User input'!F$23*(1+'User input'!F$45)^B31*'User input'!J$9*'User input'!I$9*('User input'!K$9/1000)^('User input'!J$9-1))/1000+'User input'!I$9*'User input'!F$23*(1+'User input'!F$45)^B31*('User input'!K$9/1000)^'User input'!J$9,'User input'!I$9*'User input'!F$23*(1+'User input'!F$45)^B31*(E31/1000)^'User input'!J$9))*'User input'!F$47)</f>
        <v/>
      </c>
      <c r="Q31" s="27" t="str">
        <f>IF(B31&gt;'User input'!F$24,"",IF(B31&gt;0,(P31-P30),0))</f>
        <v/>
      </c>
      <c r="R31" s="32" t="str">
        <f>IF(B31&gt;'User input'!F$24,"",Q31/'User input'!F$43)</f>
        <v/>
      </c>
      <c r="S31" s="27" t="str">
        <f>IF(B31&gt;'User input'!F$24,"",(J31+L31+O31+Q31)*('User input'!L$25+'User input'!L$26)-IF(B31='User input'!F$24,(F31-K31)*'User input'!L$25,0))</f>
        <v/>
      </c>
      <c r="T31" s="27" t="str">
        <f>IF(B31&gt;'User input'!F$24,"",L31+M31+N31+O31+Q31-S31)</f>
        <v/>
      </c>
      <c r="U31" s="27" t="str">
        <f>IF(B31&gt;'User input'!F$24,"",C31*T31)</f>
        <v/>
      </c>
      <c r="W31" s="58" t="s">
        <v>55</v>
      </c>
      <c r="X31" s="58" t="s">
        <v>55</v>
      </c>
    </row>
    <row r="32" spans="2:24" x14ac:dyDescent="0.2">
      <c r="B32" s="8" t="str">
        <f>IF(B31&gt;='User input'!F$24,"",B31+1)</f>
        <v/>
      </c>
      <c r="C32" s="29" t="str">
        <f>IF(B32&gt;'User input'!F$24,"",'User input'!F$50^B32)</f>
        <v/>
      </c>
      <c r="D32" s="8" t="str">
        <f>IF(B32&gt;'User input'!F$24,"",IF(B32=0,'User input'!F$14,D31+1))</f>
        <v/>
      </c>
      <c r="E32" s="28" t="str">
        <f>IF(B32&gt;'User input'!F$24,"",IF(B32=0,'User input'!F$19,E31+'User input'!F$43))</f>
        <v/>
      </c>
      <c r="F32" s="57" t="str">
        <f>IF(B32&gt;'User input'!F$24,"",EXP('User input'!G$9*(D32-'User input'!F$14)+'User input'!H$9*((E32-'User input'!F$19)/100))*'User input'!F$21*(1+'User input'!F$45)^B32)</f>
        <v/>
      </c>
      <c r="G32" s="27" t="str">
        <f>IF(B32&gt;'User input'!F$24,"",IF(B32&gt;0,F31*'User input'!L$23,0))</f>
        <v/>
      </c>
      <c r="H32" s="27" t="str">
        <f>IF(B32&gt;'User input'!F$24,"",IF(B32&gt;0,F31-F32,0))</f>
        <v/>
      </c>
      <c r="I32" s="52" t="str">
        <f>IF(B32&gt;'User input'!F$24,"",IF(B32&gt;7,0,IF(SUM(I$11:I31)&lt;1,IF(B32='User input'!F$24,'User input'!L53/2,'User input'!L53),0)))</f>
        <v/>
      </c>
      <c r="J32" s="27" t="str">
        <f>IF(B32&gt;'User input'!F$24,"",IF(B32=0,MIN('User input'!F$20,'User input'!L$28)+'User input'!L$31+'User input'!L$32*I32,'User input'!L$32*I32))</f>
        <v/>
      </c>
      <c r="K32" s="27" t="str">
        <f>IF(B32&gt;'User input'!F$24,"",IF(B32=0,'User input'!F$20-J32,K31-J32))</f>
        <v/>
      </c>
      <c r="L32" s="27" t="str">
        <f>IF(B32&gt;'User input'!F$24,"",IF(B32&gt;0,('User input'!F$20-'User input'!F$22)*'User input'!L$23,0))</f>
        <v/>
      </c>
      <c r="M32" s="27" t="str">
        <f>IF(B32&gt;'User input'!F$24,"",IF(B32='User input'!F$24,'User input'!F$20-'User input'!F$22,0))</f>
        <v/>
      </c>
      <c r="N32" s="27" t="str">
        <f>IF(B32&gt;'User input'!F$24,"",IF(B32=0,'User input'!F$22,IF(B32='User input'!F$24,-F32*(1-'User input'!F$46),0)))</f>
        <v/>
      </c>
      <c r="O32" s="27" t="str">
        <f>IF(B32&gt;'User input'!F$24,"",IF(B32&gt;0,'User input'!F$48*F31,0))</f>
        <v/>
      </c>
      <c r="P32" s="59" t="str">
        <f>IF(B32&gt;'User input'!F$24,"",(IF(E32&gt;'User input'!K$9,(E32-'User input'!K$9)*('User input'!F$23*(1+'User input'!F$45)^B32*'User input'!J$9*'User input'!I$9*('User input'!K$9/1000)^('User input'!J$9-1))/1000+'User input'!I$9*'User input'!F$23*(1+'User input'!F$45)^B32*('User input'!K$9/1000)^'User input'!J$9,'User input'!I$9*'User input'!F$23*(1+'User input'!F$45)^B32*(E32/1000)^'User input'!J$9))*'User input'!F$47)</f>
        <v/>
      </c>
      <c r="Q32" s="27" t="str">
        <f>IF(B32&gt;'User input'!F$24,"",IF(B32&gt;0,(P32-P31),0))</f>
        <v/>
      </c>
      <c r="R32" s="32" t="str">
        <f>IF(B32&gt;'User input'!F$24,"",Q32/'User input'!F$43)</f>
        <v/>
      </c>
      <c r="S32" s="27" t="str">
        <f>IF(B32&gt;'User input'!F$24,"",(J32+L32+O32+Q32)*('User input'!L$25+'User input'!L$26)-IF(B32='User input'!F$24,(F32-K32)*'User input'!L$25,0))</f>
        <v/>
      </c>
      <c r="T32" s="27" t="str">
        <f>IF(B32&gt;'User input'!F$24,"",L32+M32+N32+O32+Q32-S32)</f>
        <v/>
      </c>
      <c r="U32" s="27" t="str">
        <f>IF(B32&gt;'User input'!F$24,"",C32*T32)</f>
        <v/>
      </c>
      <c r="W32" s="58" t="s">
        <v>55</v>
      </c>
      <c r="X32" s="58" t="s">
        <v>55</v>
      </c>
    </row>
    <row r="33" spans="1:24" ht="14.1" customHeight="1" thickBot="1" x14ac:dyDescent="0.25">
      <c r="A33" s="11"/>
      <c r="B33" s="15"/>
      <c r="C33" s="12"/>
      <c r="D33" s="15"/>
      <c r="E33" s="12"/>
      <c r="F33" s="16"/>
      <c r="G33" s="16"/>
      <c r="H33" s="16"/>
      <c r="I33" s="12"/>
      <c r="J33" s="16"/>
      <c r="K33" s="16"/>
      <c r="L33" s="16"/>
      <c r="M33" s="16"/>
      <c r="N33" s="16"/>
      <c r="O33" s="16"/>
      <c r="P33" s="16"/>
      <c r="Q33" s="16"/>
      <c r="R33" s="16"/>
      <c r="S33" s="17"/>
      <c r="T33" s="16"/>
      <c r="U33" s="16"/>
      <c r="V33" s="16"/>
      <c r="W33" s="58"/>
      <c r="X33" s="58"/>
    </row>
    <row r="34" spans="1:24" ht="14.1" customHeight="1" x14ac:dyDescent="0.2">
      <c r="B34" s="5"/>
      <c r="C34" s="5"/>
      <c r="D34" s="5"/>
      <c r="E34" s="5"/>
      <c r="F34" s="5"/>
      <c r="G34" s="5"/>
      <c r="H34" s="5"/>
      <c r="I34" s="18"/>
      <c r="J34" s="5"/>
      <c r="K34" s="5"/>
      <c r="L34" s="5"/>
      <c r="M34" s="5"/>
      <c r="N34" s="5"/>
      <c r="O34" s="5"/>
      <c r="P34" s="5"/>
      <c r="Q34" s="5"/>
      <c r="R34" s="5"/>
      <c r="S34" s="5"/>
      <c r="T34" s="5"/>
      <c r="U34" s="5"/>
      <c r="V34" s="5"/>
    </row>
    <row r="35" spans="1:24" ht="14.1" customHeight="1" x14ac:dyDescent="0.2">
      <c r="B35" s="2" t="s">
        <v>35</v>
      </c>
      <c r="H35" s="4"/>
      <c r="I35" s="19" t="str">
        <f>IF(OR('User input'!L41&gt;1.01,'User input'!L41&lt;0.99),"Total depreciation rate should add to 100%"," ")</f>
        <v xml:space="preserve"> </v>
      </c>
      <c r="P35" s="56"/>
    </row>
    <row r="36" spans="1:24" ht="14.1" customHeight="1" x14ac:dyDescent="0.2">
      <c r="B36" s="2" t="s">
        <v>36</v>
      </c>
      <c r="H36" s="20"/>
      <c r="I36" s="19" t="str">
        <f>IF(OR('User input'!L41&gt;1.01,'User input'!L41&lt;0.99),"Go back to User Input tab and check entered values!"," ")</f>
        <v xml:space="preserve"> </v>
      </c>
    </row>
    <row r="37" spans="1:24" ht="14.1" customHeight="1" x14ac:dyDescent="0.2"/>
  </sheetData>
  <sheetProtection algorithmName="SHA-512" hashValue="vqPtqGXKuPPhyJHB3GutEMb77v99X1cHG2Nr7iqGxpX/8ghKtQCAuvudZAx5nXQNlmMjMwLnvSaD1Kd9HrRBKQ==" saltValue="x1TSRvVcOchgrw56hQ13pQ==" spinCount="100000" sheet="1" objects="1" scenarios="1"/>
  <phoneticPr fontId="0" type="noConversion"/>
  <pageMargins left="0.5" right="0.5" top="0.75" bottom="0.75" header="0.5" footer="0.75"/>
  <pageSetup scale="59" orientation="landscape" r:id="rId1"/>
  <headerFooter alignWithMargins="0">
    <oddFooter>&amp;C&amp;10OwnBaler.xls -- Developed by Kevin Dhuyvetter and Terry Kastens
Extension Agricultural Economists, Kansas State University&amp;R&amp;10
Time and Tax page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Print2">
                <anchor moveWithCells="1" sizeWithCells="1">
                  <from>
                    <xdr:col>1</xdr:col>
                    <xdr:colOff>152400</xdr:colOff>
                    <xdr:row>2</xdr:row>
                    <xdr:rowOff>66675</xdr:rowOff>
                  </from>
                  <to>
                    <xdr:col>2</xdr:col>
                    <xdr:colOff>495300</xdr:colOff>
                    <xdr:row>3</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K40"/>
  <sheetViews>
    <sheetView zoomScale="87" workbookViewId="0"/>
  </sheetViews>
  <sheetFormatPr defaultRowHeight="12.75" x14ac:dyDescent="0.2"/>
  <cols>
    <col min="1" max="1" width="4.77734375" style="33" customWidth="1"/>
    <col min="2" max="2" width="1.77734375" style="33" customWidth="1"/>
    <col min="3" max="9" width="9.77734375" style="33" customWidth="1"/>
    <col min="10" max="16384" width="8.88671875" style="33"/>
  </cols>
  <sheetData>
    <row r="1" spans="1:11" x14ac:dyDescent="0.2">
      <c r="B1" s="34"/>
      <c r="C1" s="34"/>
      <c r="D1" s="34"/>
      <c r="E1" s="34"/>
      <c r="F1" s="34"/>
      <c r="G1" s="34"/>
      <c r="H1" s="34"/>
      <c r="I1" s="34"/>
    </row>
    <row r="2" spans="1:11" ht="13.5" thickBot="1" x14ac:dyDescent="0.25">
      <c r="A2" s="34"/>
      <c r="B2" s="35" t="s">
        <v>135</v>
      </c>
      <c r="C2" s="35"/>
      <c r="D2" s="36"/>
      <c r="E2" s="36"/>
      <c r="F2" s="36"/>
      <c r="G2" s="36"/>
      <c r="H2" s="36"/>
      <c r="I2" s="36"/>
      <c r="J2" s="36"/>
      <c r="K2" s="36"/>
    </row>
    <row r="3" spans="1:11" x14ac:dyDescent="0.2">
      <c r="B3" s="4"/>
      <c r="C3" s="4"/>
      <c r="D3" s="4"/>
      <c r="E3" s="4"/>
      <c r="F3" s="4"/>
      <c r="G3" s="4"/>
      <c r="H3" s="4"/>
      <c r="I3" s="4"/>
    </row>
    <row r="4" spans="1:11" x14ac:dyDescent="0.2">
      <c r="B4" s="4" t="s">
        <v>18</v>
      </c>
      <c r="C4" s="4"/>
      <c r="D4" s="4"/>
      <c r="E4" s="4"/>
      <c r="F4" s="4"/>
      <c r="G4" s="4"/>
      <c r="H4" s="4"/>
      <c r="I4" s="4"/>
    </row>
    <row r="5" spans="1:11" x14ac:dyDescent="0.2">
      <c r="B5" s="4" t="s">
        <v>136</v>
      </c>
      <c r="C5" s="4"/>
      <c r="D5" s="4"/>
      <c r="E5" s="4"/>
      <c r="F5" s="4" t="str">
        <f>VLOOKUP('User input'!F12,'User input'!B7:I8,2)</f>
        <v>Large round baler</v>
      </c>
      <c r="G5" s="4"/>
      <c r="H5" s="3" t="str">
        <f>IF('User input'!F12=2,"","(using "&amp;FIXED((1-'User input'!F13)*100,0)&amp;"% twine and "&amp;FIXED('User input'!F13*100,0)&amp;"% net wrap)")</f>
        <v>(using 0% twine and 100% net wrap)</v>
      </c>
      <c r="I5" s="4"/>
    </row>
    <row r="6" spans="1:11" x14ac:dyDescent="0.2">
      <c r="G6" s="4"/>
      <c r="H6" s="4"/>
      <c r="I6" s="4"/>
    </row>
    <row r="7" spans="1:11" x14ac:dyDescent="0.2">
      <c r="B7" s="4" t="s">
        <v>137</v>
      </c>
      <c r="C7" s="4"/>
      <c r="D7" s="4"/>
      <c r="E7" s="4"/>
      <c r="F7" s="23">
        <f>'User input'!F20</f>
        <v>30000</v>
      </c>
      <c r="G7" s="4"/>
      <c r="H7" s="4"/>
      <c r="I7" s="4"/>
    </row>
    <row r="8" spans="1:11" x14ac:dyDescent="0.2">
      <c r="B8" s="4" t="s">
        <v>138</v>
      </c>
      <c r="C8" s="4"/>
      <c r="D8" s="4"/>
      <c r="E8" s="4"/>
      <c r="F8" s="4">
        <f>'User input'!F14</f>
        <v>0</v>
      </c>
      <c r="G8" s="4"/>
      <c r="H8" s="4"/>
      <c r="I8" s="4"/>
    </row>
    <row r="9" spans="1:11" x14ac:dyDescent="0.2">
      <c r="B9" s="4" t="s">
        <v>139</v>
      </c>
      <c r="C9" s="4"/>
      <c r="D9" s="4"/>
      <c r="E9" s="4"/>
      <c r="F9" s="63">
        <f>'User input'!F15</f>
        <v>0</v>
      </c>
      <c r="G9" s="4"/>
      <c r="H9" s="4"/>
      <c r="I9" s="4"/>
    </row>
    <row r="10" spans="1:11" x14ac:dyDescent="0.2">
      <c r="B10" s="4" t="s">
        <v>140</v>
      </c>
      <c r="C10" s="4"/>
      <c r="D10" s="4"/>
      <c r="E10" s="4"/>
      <c r="F10" s="63">
        <f>'User input'!F19</f>
        <v>0</v>
      </c>
      <c r="G10" s="4"/>
      <c r="H10" s="4"/>
      <c r="I10" s="4"/>
    </row>
    <row r="11" spans="1:11" x14ac:dyDescent="0.2">
      <c r="B11" s="4" t="s">
        <v>149</v>
      </c>
      <c r="C11" s="4"/>
      <c r="D11" s="4"/>
      <c r="E11" s="4"/>
      <c r="F11" s="63">
        <f>'User input'!F32</f>
        <v>1700</v>
      </c>
      <c r="G11" s="4"/>
      <c r="H11" s="4"/>
      <c r="I11" s="4"/>
    </row>
    <row r="12" spans="1:11" x14ac:dyDescent="0.2">
      <c r="B12" s="4" t="s">
        <v>141</v>
      </c>
      <c r="C12" s="4"/>
      <c r="D12" s="4"/>
      <c r="E12" s="4"/>
      <c r="F12" s="63">
        <f>'User input'!F41</f>
        <v>5000</v>
      </c>
      <c r="G12" s="4"/>
      <c r="H12" s="4"/>
      <c r="I12" s="4"/>
    </row>
    <row r="13" spans="1:11" x14ac:dyDescent="0.2">
      <c r="B13" s="4" t="s">
        <v>147</v>
      </c>
      <c r="C13" s="4"/>
      <c r="D13" s="4"/>
      <c r="E13" s="4"/>
      <c r="F13" s="63">
        <f>F11*F12/2000</f>
        <v>4250</v>
      </c>
      <c r="G13" s="4"/>
      <c r="H13" s="4"/>
      <c r="I13" s="4"/>
    </row>
    <row r="14" spans="1:11" x14ac:dyDescent="0.2">
      <c r="B14" s="4" t="s">
        <v>142</v>
      </c>
      <c r="C14" s="4"/>
      <c r="D14" s="4"/>
      <c r="E14" s="4"/>
      <c r="F14" s="74">
        <f>'User input'!F43</f>
        <v>168.89727522751267</v>
      </c>
      <c r="G14" s="4"/>
      <c r="H14" s="4"/>
      <c r="I14" s="4"/>
    </row>
    <row r="15" spans="1:11" x14ac:dyDescent="0.2">
      <c r="B15" s="4" t="s">
        <v>256</v>
      </c>
      <c r="F15" s="74">
        <f>'User input'!L19</f>
        <v>295.57023164814717</v>
      </c>
      <c r="G15" s="4"/>
      <c r="H15" s="4"/>
      <c r="I15" s="4"/>
    </row>
    <row r="16" spans="1:11" x14ac:dyDescent="0.2">
      <c r="B16" s="4" t="s">
        <v>143</v>
      </c>
      <c r="C16" s="4"/>
      <c r="D16" s="4"/>
      <c r="E16" s="4"/>
      <c r="F16" s="63">
        <f>'User input'!F42</f>
        <v>3541.6666666666665</v>
      </c>
      <c r="I16" s="4"/>
    </row>
    <row r="17" spans="2:10" x14ac:dyDescent="0.2">
      <c r="B17" s="4" t="s">
        <v>156</v>
      </c>
      <c r="C17" s="4"/>
      <c r="D17" s="4"/>
      <c r="E17" s="4"/>
      <c r="F17" s="4">
        <f>'User input'!F24</f>
        <v>3</v>
      </c>
      <c r="G17" s="4"/>
      <c r="H17" s="4"/>
      <c r="I17" s="4"/>
    </row>
    <row r="18" spans="2:10" x14ac:dyDescent="0.2">
      <c r="B18" s="33" t="s">
        <v>144</v>
      </c>
      <c r="D18" s="4"/>
      <c r="E18" s="4"/>
      <c r="F18" s="47">
        <f>-MIN('Time and Tax (TT)'!N12:N32)</f>
        <v>24576.197956318985</v>
      </c>
      <c r="G18" s="4"/>
      <c r="H18" s="4"/>
      <c r="I18" s="4"/>
    </row>
    <row r="19" spans="2:10" x14ac:dyDescent="0.2">
      <c r="B19" s="4" t="s">
        <v>50</v>
      </c>
      <c r="C19" s="4"/>
      <c r="D19" s="4"/>
      <c r="E19" s="4"/>
      <c r="F19" s="47">
        <f>MAX('Time and Tax (TT)'!P12:P32)</f>
        <v>5000.1966172121583</v>
      </c>
      <c r="G19" s="4"/>
      <c r="H19" s="72"/>
      <c r="I19" s="4"/>
    </row>
    <row r="20" spans="2:10" s="34" customFormat="1" x14ac:dyDescent="0.2">
      <c r="B20" s="4"/>
      <c r="C20" s="4"/>
      <c r="D20" s="4"/>
      <c r="E20" s="4"/>
      <c r="F20" s="4"/>
      <c r="G20" s="4"/>
      <c r="H20" s="4"/>
      <c r="I20" s="4"/>
    </row>
    <row r="21" spans="2:10" s="34" customFormat="1" x14ac:dyDescent="0.2">
      <c r="B21" s="21" t="s">
        <v>65</v>
      </c>
      <c r="C21" s="21"/>
      <c r="D21" s="21"/>
      <c r="E21" s="21"/>
      <c r="F21" s="21"/>
      <c r="G21" s="21"/>
      <c r="H21" s="21"/>
      <c r="I21" s="21"/>
    </row>
    <row r="22" spans="2:10" x14ac:dyDescent="0.2">
      <c r="B22" s="4"/>
      <c r="C22" s="4"/>
      <c r="D22" s="4"/>
      <c r="E22" s="4"/>
      <c r="F22" s="48" t="s">
        <v>24</v>
      </c>
      <c r="G22" s="48" t="s">
        <v>145</v>
      </c>
      <c r="H22" s="48" t="s">
        <v>146</v>
      </c>
      <c r="I22" s="48" t="s">
        <v>26</v>
      </c>
      <c r="J22" s="48" t="s">
        <v>62</v>
      </c>
    </row>
    <row r="23" spans="2:10" x14ac:dyDescent="0.2">
      <c r="C23" s="4" t="s">
        <v>19</v>
      </c>
      <c r="D23" s="4"/>
      <c r="E23" s="4"/>
      <c r="F23" s="25">
        <f>'User input'!L46</f>
        <v>1243.8269696294522</v>
      </c>
      <c r="G23" s="7">
        <f>F23/F$12</f>
        <v>0.24876539392589042</v>
      </c>
      <c r="H23" s="80">
        <f>F23/F$13</f>
        <v>0.29266516932457698</v>
      </c>
      <c r="I23" s="7">
        <f>F23/F$14</f>
        <v>7.3643992654941179</v>
      </c>
      <c r="J23" s="7">
        <f>F23/F$16</f>
        <v>0.35119820318949241</v>
      </c>
    </row>
    <row r="24" spans="2:10" x14ac:dyDescent="0.2">
      <c r="C24" s="4" t="s">
        <v>20</v>
      </c>
      <c r="D24" s="4"/>
      <c r="E24" s="4"/>
      <c r="F24" s="25">
        <f>'User input'!L47</f>
        <v>1198.4542910971716</v>
      </c>
      <c r="G24" s="7">
        <f>F24/F$12</f>
        <v>0.23969085821943431</v>
      </c>
      <c r="H24" s="80">
        <f>F24/F$13</f>
        <v>0.28198924496404038</v>
      </c>
      <c r="I24" s="7">
        <f>F24/F$14</f>
        <v>7.0957585874774862</v>
      </c>
      <c r="J24" s="7">
        <f>F24/F$16</f>
        <v>0.33838709395684846</v>
      </c>
    </row>
    <row r="25" spans="2:10" x14ac:dyDescent="0.2">
      <c r="C25" s="4" t="s">
        <v>21</v>
      </c>
      <c r="D25" s="4"/>
      <c r="E25" s="4"/>
      <c r="F25" s="25">
        <f>'User input'!L48</f>
        <v>1431.4751902565904</v>
      </c>
      <c r="G25" s="7">
        <f>F25/F$12</f>
        <v>0.28629503805131806</v>
      </c>
      <c r="H25" s="80">
        <f>F25/F$13</f>
        <v>0.33681769182508009</v>
      </c>
      <c r="I25" s="7">
        <f>F25/F$14</f>
        <v>8.4754190873021802</v>
      </c>
      <c r="J25" s="7">
        <f>F25/F$16</f>
        <v>0.40418123019009611</v>
      </c>
    </row>
    <row r="26" spans="2:10" x14ac:dyDescent="0.2">
      <c r="C26" s="4" t="s">
        <v>22</v>
      </c>
      <c r="D26" s="4"/>
      <c r="E26" s="4"/>
      <c r="F26" s="25">
        <f>'User input'!L49</f>
        <v>373.14809088883567</v>
      </c>
      <c r="G26" s="7">
        <f>F26/F$12</f>
        <v>7.4629618177767129E-2</v>
      </c>
      <c r="H26" s="80">
        <f>F26/F$13</f>
        <v>8.7799550797373102E-2</v>
      </c>
      <c r="I26" s="7">
        <f>F26/F$14</f>
        <v>2.2093197796482356</v>
      </c>
      <c r="J26" s="7">
        <f>F26/F$16</f>
        <v>0.10535946095684773</v>
      </c>
    </row>
    <row r="27" spans="2:10" ht="14.25" x14ac:dyDescent="0.2">
      <c r="B27" s="4" t="s">
        <v>64</v>
      </c>
      <c r="C27" s="4"/>
      <c r="D27" s="4"/>
      <c r="E27" s="4"/>
      <c r="F27" s="25">
        <f>SUM(F23:F26)</f>
        <v>4246.9045418720498</v>
      </c>
      <c r="G27" s="66">
        <f>SUM(G23:G26)</f>
        <v>0.84938090837440994</v>
      </c>
      <c r="H27" s="66">
        <f>SUM(H23:H26)</f>
        <v>0.99927165691107056</v>
      </c>
      <c r="I27" s="66">
        <f>SUM(I23:I26)</f>
        <v>25.14489671992202</v>
      </c>
      <c r="J27" s="66">
        <f>SUM(J23:J26)</f>
        <v>1.1991259882932848</v>
      </c>
    </row>
    <row r="28" spans="2:10" x14ac:dyDescent="0.2">
      <c r="B28" s="4"/>
      <c r="C28" s="4"/>
      <c r="D28" s="4"/>
      <c r="E28" s="4"/>
      <c r="F28" s="25"/>
      <c r="I28" s="7"/>
      <c r="J28" s="7"/>
    </row>
    <row r="29" spans="2:10" x14ac:dyDescent="0.2">
      <c r="B29" s="4"/>
      <c r="C29" s="4" t="s">
        <v>157</v>
      </c>
      <c r="D29" s="4"/>
      <c r="E29" s="4"/>
      <c r="F29" s="26">
        <f>'User input'!F41*'User input'!F60</f>
        <v>7351.326809400116</v>
      </c>
      <c r="G29" s="7">
        <f>F29/F$12</f>
        <v>1.4702653618800232</v>
      </c>
      <c r="H29" s="80">
        <f>F29/F$13</f>
        <v>1.7297239551529684</v>
      </c>
      <c r="I29" s="7">
        <f>F29/F$14</f>
        <v>43.525431653634016</v>
      </c>
      <c r="J29" s="7">
        <f>F29/F$16</f>
        <v>2.0756687461835623</v>
      </c>
    </row>
    <row r="30" spans="2:10" x14ac:dyDescent="0.2">
      <c r="B30" s="4"/>
      <c r="C30" s="4" t="s">
        <v>150</v>
      </c>
      <c r="D30" s="4"/>
      <c r="E30" s="4"/>
      <c r="F30" s="26">
        <f>'User input'!L19*'User input'!L14</f>
        <v>8867.1069494444146</v>
      </c>
      <c r="G30" s="7">
        <f>F30/F$12</f>
        <v>1.7734213898888829</v>
      </c>
      <c r="H30" s="80">
        <f>F30/F$13</f>
        <v>2.0863781057516269</v>
      </c>
      <c r="I30" s="7">
        <f>F30/F$14</f>
        <v>52.5</v>
      </c>
      <c r="J30" s="7">
        <f>F30/F$16</f>
        <v>2.5036537269019523</v>
      </c>
    </row>
    <row r="31" spans="2:10" x14ac:dyDescent="0.2">
      <c r="C31" s="4" t="s">
        <v>61</v>
      </c>
      <c r="D31" s="4"/>
      <c r="E31" s="4"/>
      <c r="F31" s="26">
        <f>'User input'!L19*'User input'!L20*'User input'!L21</f>
        <v>7684.8260228518266</v>
      </c>
      <c r="G31" s="7">
        <f>F31/F$12</f>
        <v>1.5369652045703652</v>
      </c>
      <c r="H31" s="80">
        <f>F31/F$13</f>
        <v>1.8081943583180768</v>
      </c>
      <c r="I31" s="7">
        <f>F31/F$14</f>
        <v>45.5</v>
      </c>
      <c r="J31" s="7">
        <f>F31/F$16</f>
        <v>2.1698332299816925</v>
      </c>
    </row>
    <row r="32" spans="2:10" x14ac:dyDescent="0.2">
      <c r="C32" s="4" t="s">
        <v>58</v>
      </c>
      <c r="D32" s="4"/>
      <c r="E32" s="4"/>
      <c r="F32" s="26">
        <f>'User input'!L19*'User input'!L15*'User input'!L16*(1+'User input'!L17)</f>
        <v>5852.290586633314</v>
      </c>
      <c r="G32" s="7">
        <f>F32/F$12</f>
        <v>1.1704581173266628</v>
      </c>
      <c r="H32" s="80">
        <f>F32/F$13</f>
        <v>1.3770095497960739</v>
      </c>
      <c r="I32" s="7">
        <f>F32/F$14</f>
        <v>34.65</v>
      </c>
      <c r="J32" s="7">
        <f>F32/F$16</f>
        <v>1.6524114597552888</v>
      </c>
    </row>
    <row r="33" spans="2:11" x14ac:dyDescent="0.2">
      <c r="B33" s="4" t="s">
        <v>63</v>
      </c>
      <c r="C33" s="4"/>
      <c r="D33" s="4"/>
      <c r="E33" s="4"/>
      <c r="F33" s="25">
        <f>SUM(F29:F32)</f>
        <v>29755.55036832967</v>
      </c>
      <c r="G33" s="66">
        <f>SUM(G29:G32)</f>
        <v>5.9511100736659346</v>
      </c>
      <c r="H33" s="66">
        <f>SUM(H29:H32)</f>
        <v>7.0013059690187456</v>
      </c>
      <c r="I33" s="66">
        <f>SUM(I29:I32)</f>
        <v>176.17543165363404</v>
      </c>
      <c r="J33" s="66">
        <f>SUM(J29:J32)</f>
        <v>8.4015671628224968</v>
      </c>
    </row>
    <row r="34" spans="2:11" x14ac:dyDescent="0.2">
      <c r="B34" s="4"/>
      <c r="C34" s="4"/>
      <c r="D34" s="4"/>
      <c r="E34" s="4"/>
      <c r="F34" s="26"/>
      <c r="I34" s="4"/>
      <c r="J34" s="4"/>
    </row>
    <row r="35" spans="2:11" ht="14.25" x14ac:dyDescent="0.2">
      <c r="B35" s="4" t="s">
        <v>151</v>
      </c>
      <c r="C35" s="4"/>
      <c r="D35" s="4"/>
      <c r="E35" s="4"/>
      <c r="F35" s="25">
        <f>F27+F33</f>
        <v>34002.454910201719</v>
      </c>
      <c r="G35" s="7">
        <f>G27+G33</f>
        <v>6.8004909820403441</v>
      </c>
      <c r="H35" s="7">
        <f>H27+H33</f>
        <v>8.0005776259298163</v>
      </c>
      <c r="I35" s="7">
        <f>I27+I33</f>
        <v>201.32032837355607</v>
      </c>
      <c r="J35" s="7">
        <f>J27+J33</f>
        <v>9.6006931511157809</v>
      </c>
    </row>
    <row r="36" spans="2:11" ht="13.5" thickBot="1" x14ac:dyDescent="0.25">
      <c r="B36" s="37"/>
      <c r="C36" s="37"/>
      <c r="D36" s="37"/>
      <c r="E36" s="37"/>
      <c r="F36" s="37"/>
      <c r="G36" s="37"/>
      <c r="H36" s="37"/>
      <c r="I36" s="37"/>
      <c r="J36" s="37"/>
      <c r="K36" s="37"/>
    </row>
    <row r="37" spans="2:11" ht="14.25" x14ac:dyDescent="0.2">
      <c r="B37" s="64" t="s">
        <v>148</v>
      </c>
      <c r="C37" s="65"/>
      <c r="D37" s="4"/>
      <c r="E37" s="4"/>
      <c r="F37" s="4"/>
      <c r="G37" s="4"/>
      <c r="H37" s="4"/>
      <c r="I37" s="4"/>
    </row>
    <row r="38" spans="2:11" ht="14.25" x14ac:dyDescent="0.2">
      <c r="B38" s="64" t="s">
        <v>283</v>
      </c>
      <c r="C38" s="65"/>
      <c r="D38" s="4"/>
      <c r="E38" s="4"/>
      <c r="F38" s="4"/>
      <c r="G38" s="4"/>
      <c r="H38" s="4"/>
      <c r="I38" s="4"/>
    </row>
    <row r="40" spans="2:11" x14ac:dyDescent="0.2">
      <c r="B40" s="4" t="s">
        <v>49</v>
      </c>
      <c r="C40" s="4"/>
      <c r="D40" s="4"/>
      <c r="E40" s="38">
        <f ca="1">NOW()</f>
        <v>42550.462385995372</v>
      </c>
    </row>
  </sheetData>
  <sheetProtection algorithmName="SHA-512" hashValue="rcftdA6WwQbKp9LZLDkiDZEX9MYMHZ5FuGuE7ay03ixDFujiD/1eF9w2vvCgADPH+lybWOEL6WftTwBRdjexNA==" saltValue="1yMf4fFNCDriRqTL6wFCvg==" spinCount="100000" sheet="1" objects="1" scenarios="1"/>
  <phoneticPr fontId="0" type="noConversion"/>
  <pageMargins left="1" right="0.75" top="0.75" bottom="1" header="0.5" footer="0.5"/>
  <pageSetup scale="95" orientation="landscape" r:id="rId1"/>
  <headerFooter alignWithMargins="0">
    <oddFooter>&amp;C&amp;10OwnBaler.xls -- Developed by Kevin Dhuyvetter and Terry Kastens
Extension Agricultural Economists, Kansas State University&amp;R&amp;10
Analysis summary page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Print3">
                <anchor moveWithCells="1" sizeWithCells="1">
                  <from>
                    <xdr:col>8</xdr:col>
                    <xdr:colOff>76200</xdr:colOff>
                    <xdr:row>1</xdr:row>
                    <xdr:rowOff>47625</xdr:rowOff>
                  </from>
                  <to>
                    <xdr:col>8</xdr:col>
                    <xdr:colOff>819150</xdr:colOff>
                    <xdr:row>2</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97"/>
  <sheetViews>
    <sheetView zoomScale="87" workbookViewId="0">
      <pane xSplit="1" ySplit="5" topLeftCell="B6" activePane="bottomRight" state="frozen"/>
      <selection pane="topRight" activeCell="B1" sqref="B1"/>
      <selection pane="bottomLeft" activeCell="A6" sqref="A6"/>
      <selection pane="bottomRight"/>
    </sheetView>
  </sheetViews>
  <sheetFormatPr defaultRowHeight="12.75" x14ac:dyDescent="0.2"/>
  <cols>
    <col min="1" max="2" width="4.77734375" style="68" customWidth="1"/>
    <col min="3" max="3" width="16.77734375" style="68" customWidth="1"/>
    <col min="4" max="4" width="9.77734375" style="69" customWidth="1"/>
    <col min="5" max="5" width="10.77734375" style="69" customWidth="1"/>
    <col min="6" max="6" width="11.21875" style="69" customWidth="1"/>
    <col min="7" max="16384" width="8.88671875" style="68"/>
  </cols>
  <sheetData>
    <row r="1" spans="1:7" ht="12.75" customHeight="1" x14ac:dyDescent="0.2">
      <c r="C1" s="92"/>
      <c r="D1" s="93"/>
      <c r="E1" s="93"/>
      <c r="F1" s="93"/>
    </row>
    <row r="2" spans="1:7" ht="12.75" customHeight="1" thickBot="1" x14ac:dyDescent="0.25">
      <c r="B2" s="92"/>
      <c r="C2" s="14" t="s">
        <v>259</v>
      </c>
      <c r="D2" s="94"/>
      <c r="E2" s="94"/>
      <c r="F2" s="94"/>
      <c r="G2" s="92"/>
    </row>
    <row r="3" spans="1:7" ht="12.75" customHeight="1" x14ac:dyDescent="0.2">
      <c r="C3" s="92"/>
      <c r="D3" s="93"/>
      <c r="E3" s="93"/>
      <c r="F3" s="93"/>
    </row>
    <row r="4" spans="1:7" ht="12.75" customHeight="1" x14ac:dyDescent="0.25">
      <c r="C4" s="179"/>
      <c r="D4" s="180"/>
      <c r="E4" s="180" t="s">
        <v>327</v>
      </c>
      <c r="F4" s="180" t="s">
        <v>329</v>
      </c>
    </row>
    <row r="5" spans="1:7" ht="12.75" customHeight="1" thickBot="1" x14ac:dyDescent="0.3">
      <c r="B5" s="92"/>
      <c r="C5" s="181" t="s">
        <v>71</v>
      </c>
      <c r="D5" s="182" t="s">
        <v>72</v>
      </c>
      <c r="E5" s="182" t="s">
        <v>328</v>
      </c>
      <c r="F5" s="182" t="s">
        <v>328</v>
      </c>
      <c r="G5" s="92"/>
    </row>
    <row r="6" spans="1:7" ht="12.75" customHeight="1" x14ac:dyDescent="0.25">
      <c r="A6" s="183"/>
      <c r="B6" s="1" t="s">
        <v>73</v>
      </c>
    </row>
    <row r="7" spans="1:7" ht="12.75" customHeight="1" x14ac:dyDescent="0.2">
      <c r="C7" s="176" t="s">
        <v>74</v>
      </c>
      <c r="D7" s="177">
        <v>2170</v>
      </c>
      <c r="E7" s="177">
        <v>47</v>
      </c>
      <c r="F7" s="177">
        <v>34.4</v>
      </c>
    </row>
    <row r="8" spans="1:7" ht="12.75" customHeight="1" x14ac:dyDescent="0.2">
      <c r="C8" s="176" t="s">
        <v>74</v>
      </c>
      <c r="D8" s="177">
        <v>2190</v>
      </c>
      <c r="E8" s="177">
        <v>47.25</v>
      </c>
      <c r="F8" s="177">
        <v>50</v>
      </c>
    </row>
    <row r="9" spans="1:7" ht="12.75" customHeight="1" x14ac:dyDescent="0.2">
      <c r="C9" s="72" t="s">
        <v>74</v>
      </c>
      <c r="D9" s="77">
        <v>4700</v>
      </c>
      <c r="E9" s="177">
        <v>31</v>
      </c>
      <c r="F9" s="177">
        <v>32.5</v>
      </c>
    </row>
    <row r="10" spans="1:7" ht="12.75" customHeight="1" x14ac:dyDescent="0.2">
      <c r="C10" s="72" t="s">
        <v>74</v>
      </c>
      <c r="D10" s="77">
        <v>4750</v>
      </c>
      <c r="E10" s="177">
        <v>31.5</v>
      </c>
      <c r="F10" s="177">
        <v>34.4</v>
      </c>
    </row>
    <row r="11" spans="1:7" ht="12.75" customHeight="1" x14ac:dyDescent="0.2">
      <c r="C11" s="72" t="s">
        <v>74</v>
      </c>
      <c r="D11" s="77">
        <v>4755</v>
      </c>
      <c r="E11" s="177">
        <v>31.5</v>
      </c>
      <c r="F11" s="177">
        <v>34.4</v>
      </c>
    </row>
    <row r="12" spans="1:7" ht="12.75" customHeight="1" x14ac:dyDescent="0.2">
      <c r="C12" s="72" t="s">
        <v>74</v>
      </c>
      <c r="D12" s="77">
        <v>4760</v>
      </c>
      <c r="E12" s="177">
        <v>31.5</v>
      </c>
      <c r="F12" s="177">
        <v>34.4</v>
      </c>
    </row>
    <row r="13" spans="1:7" ht="12.75" customHeight="1" x14ac:dyDescent="0.2">
      <c r="C13" s="72" t="s">
        <v>74</v>
      </c>
      <c r="D13" s="77">
        <v>4790</v>
      </c>
      <c r="E13" s="177">
        <v>47.25</v>
      </c>
      <c r="F13" s="177">
        <v>34.4</v>
      </c>
    </row>
    <row r="14" spans="1:7" ht="12.75" customHeight="1" x14ac:dyDescent="0.2">
      <c r="C14" s="72" t="s">
        <v>74</v>
      </c>
      <c r="D14" s="77">
        <v>4800</v>
      </c>
      <c r="E14" s="177">
        <v>46.5</v>
      </c>
      <c r="F14" s="177">
        <v>50</v>
      </c>
    </row>
    <row r="15" spans="1:7" ht="12.75" customHeight="1" x14ac:dyDescent="0.2">
      <c r="C15" s="72" t="s">
        <v>74</v>
      </c>
      <c r="D15" s="77">
        <v>4900</v>
      </c>
      <c r="E15" s="177">
        <v>46.5</v>
      </c>
      <c r="F15" s="177">
        <v>50</v>
      </c>
    </row>
    <row r="16" spans="1:7" ht="12.75" customHeight="1" x14ac:dyDescent="0.2">
      <c r="C16" s="72" t="s">
        <v>74</v>
      </c>
      <c r="D16" s="77">
        <v>4910</v>
      </c>
      <c r="E16" s="177">
        <v>46.5</v>
      </c>
      <c r="F16" s="177">
        <v>50</v>
      </c>
    </row>
    <row r="17" spans="2:6" ht="12.75" customHeight="1" x14ac:dyDescent="0.2">
      <c r="C17" s="176" t="s">
        <v>74</v>
      </c>
      <c r="D17" s="177">
        <v>7434</v>
      </c>
      <c r="E17" s="177">
        <v>47</v>
      </c>
      <c r="F17" s="177">
        <v>34.4</v>
      </c>
    </row>
    <row r="18" spans="2:6" ht="12.75" customHeight="1" x14ac:dyDescent="0.2">
      <c r="C18" s="176" t="s">
        <v>74</v>
      </c>
      <c r="D18" s="177">
        <v>7444</v>
      </c>
      <c r="E18" s="177">
        <v>46.5</v>
      </c>
      <c r="F18" s="177">
        <v>50</v>
      </c>
    </row>
    <row r="19" spans="2:6" ht="12.75" customHeight="1" x14ac:dyDescent="0.2">
      <c r="C19" s="72" t="s">
        <v>75</v>
      </c>
      <c r="D19" s="77">
        <v>590</v>
      </c>
      <c r="E19" s="77">
        <v>31.5</v>
      </c>
      <c r="F19" s="77">
        <v>35.4</v>
      </c>
    </row>
    <row r="20" spans="2:6" ht="12.75" customHeight="1" x14ac:dyDescent="0.2">
      <c r="C20" s="72" t="s">
        <v>75</v>
      </c>
      <c r="D20" s="77">
        <v>595</v>
      </c>
      <c r="E20" s="77">
        <v>47.3</v>
      </c>
      <c r="F20" s="77">
        <v>35.4</v>
      </c>
    </row>
    <row r="21" spans="2:6" ht="12.75" customHeight="1" x14ac:dyDescent="0.2">
      <c r="C21" s="176" t="s">
        <v>75</v>
      </c>
      <c r="D21" s="177" t="s">
        <v>307</v>
      </c>
      <c r="E21" s="77">
        <v>35</v>
      </c>
      <c r="F21" s="77">
        <v>32</v>
      </c>
    </row>
    <row r="22" spans="2:6" ht="12.75" customHeight="1" x14ac:dyDescent="0.2">
      <c r="C22" s="176" t="s">
        <v>75</v>
      </c>
      <c r="D22" s="177" t="s">
        <v>308</v>
      </c>
      <c r="E22" s="77">
        <v>47</v>
      </c>
      <c r="F22" s="77">
        <v>35</v>
      </c>
    </row>
    <row r="23" spans="2:6" ht="12.75" customHeight="1" x14ac:dyDescent="0.2">
      <c r="C23" s="72" t="s">
        <v>75</v>
      </c>
      <c r="D23" s="77" t="s">
        <v>77</v>
      </c>
      <c r="E23" s="77">
        <v>31.5</v>
      </c>
      <c r="F23" s="77">
        <v>35.4</v>
      </c>
    </row>
    <row r="24" spans="2:6" ht="12.75" customHeight="1" x14ac:dyDescent="0.2">
      <c r="C24" s="72" t="s">
        <v>75</v>
      </c>
      <c r="D24" s="77" t="s">
        <v>76</v>
      </c>
      <c r="E24" s="77">
        <v>31.5</v>
      </c>
      <c r="F24" s="77">
        <v>35.4</v>
      </c>
    </row>
    <row r="25" spans="2:6" ht="12.75" customHeight="1" x14ac:dyDescent="0.2">
      <c r="C25" s="72" t="s">
        <v>75</v>
      </c>
      <c r="D25" s="77" t="s">
        <v>81</v>
      </c>
      <c r="E25" s="77">
        <v>47.3</v>
      </c>
      <c r="F25" s="77">
        <v>35.4</v>
      </c>
    </row>
    <row r="26" spans="2:6" ht="12.75" customHeight="1" x14ac:dyDescent="0.2">
      <c r="C26" s="72" t="s">
        <v>75</v>
      </c>
      <c r="D26" s="77" t="s">
        <v>80</v>
      </c>
      <c r="E26" s="77">
        <v>47.3</v>
      </c>
      <c r="F26" s="77">
        <v>35.4</v>
      </c>
    </row>
    <row r="27" spans="2:6" ht="12.75" customHeight="1" x14ac:dyDescent="0.2">
      <c r="C27" s="72" t="s">
        <v>75</v>
      </c>
      <c r="D27" s="77" t="s">
        <v>78</v>
      </c>
      <c r="E27" s="77">
        <v>24</v>
      </c>
      <c r="F27" s="77">
        <v>36</v>
      </c>
    </row>
    <row r="28" spans="2:6" ht="12.75" customHeight="1" x14ac:dyDescent="0.2">
      <c r="C28" s="72" t="s">
        <v>75</v>
      </c>
      <c r="D28" s="77" t="s">
        <v>82</v>
      </c>
      <c r="E28" s="77">
        <v>47.3</v>
      </c>
      <c r="F28" s="77">
        <v>35.4</v>
      </c>
    </row>
    <row r="29" spans="2:6" ht="12.75" customHeight="1" x14ac:dyDescent="0.2">
      <c r="C29" s="72" t="s">
        <v>75</v>
      </c>
      <c r="D29" s="77" t="s">
        <v>79</v>
      </c>
      <c r="E29" s="77">
        <v>24</v>
      </c>
      <c r="F29" s="77">
        <v>36</v>
      </c>
    </row>
    <row r="30" spans="2:6" ht="12.75" customHeight="1" x14ac:dyDescent="0.2"/>
    <row r="31" spans="2:6" ht="12.75" customHeight="1" x14ac:dyDescent="0.25">
      <c r="B31" s="1" t="s">
        <v>83</v>
      </c>
      <c r="D31" s="178"/>
      <c r="E31" s="178"/>
      <c r="F31" s="178"/>
    </row>
    <row r="32" spans="2:6" ht="12.75" customHeight="1" x14ac:dyDescent="0.2">
      <c r="C32" s="72" t="s">
        <v>309</v>
      </c>
      <c r="D32" s="77">
        <v>514</v>
      </c>
      <c r="E32" s="184">
        <v>60</v>
      </c>
      <c r="F32" s="184">
        <v>72</v>
      </c>
    </row>
    <row r="33" spans="3:6" ht="12.75" customHeight="1" x14ac:dyDescent="0.2">
      <c r="C33" s="72" t="s">
        <v>309</v>
      </c>
      <c r="D33" s="77">
        <v>530</v>
      </c>
      <c r="E33" s="184">
        <v>39.4</v>
      </c>
      <c r="F33" s="184">
        <v>52</v>
      </c>
    </row>
    <row r="34" spans="3:6" ht="12.75" customHeight="1" x14ac:dyDescent="0.2">
      <c r="C34" s="72" t="s">
        <v>309</v>
      </c>
      <c r="D34" s="77">
        <v>540</v>
      </c>
      <c r="E34" s="184">
        <v>47</v>
      </c>
      <c r="F34" s="184">
        <v>51</v>
      </c>
    </row>
    <row r="35" spans="3:6" ht="12.75" customHeight="1" x14ac:dyDescent="0.2">
      <c r="C35" s="72" t="s">
        <v>309</v>
      </c>
      <c r="D35" s="77">
        <v>545</v>
      </c>
      <c r="E35" s="184">
        <v>47</v>
      </c>
      <c r="F35" s="184">
        <v>60</v>
      </c>
    </row>
    <row r="36" spans="3:6" ht="12.75" customHeight="1" x14ac:dyDescent="0.2">
      <c r="C36" s="72" t="s">
        <v>309</v>
      </c>
      <c r="D36" s="77">
        <v>550</v>
      </c>
      <c r="E36" s="184">
        <v>46.5</v>
      </c>
      <c r="F36" s="184">
        <v>75</v>
      </c>
    </row>
    <row r="37" spans="3:6" ht="12.75" customHeight="1" x14ac:dyDescent="0.2">
      <c r="C37" s="72" t="s">
        <v>309</v>
      </c>
      <c r="D37" s="77">
        <v>560</v>
      </c>
      <c r="E37" s="184">
        <v>61.5</v>
      </c>
      <c r="F37" s="184">
        <v>72</v>
      </c>
    </row>
    <row r="38" spans="3:6" ht="12.75" customHeight="1" x14ac:dyDescent="0.2">
      <c r="C38" s="72" t="s">
        <v>309</v>
      </c>
      <c r="D38" s="77">
        <v>730</v>
      </c>
      <c r="E38" s="184">
        <v>39.4</v>
      </c>
      <c r="F38" s="184">
        <v>52</v>
      </c>
    </row>
    <row r="39" spans="3:6" ht="12.75" customHeight="1" x14ac:dyDescent="0.2">
      <c r="C39" s="72" t="s">
        <v>309</v>
      </c>
      <c r="D39" s="77">
        <v>740</v>
      </c>
      <c r="E39" s="184">
        <v>47</v>
      </c>
      <c r="F39" s="184">
        <v>51</v>
      </c>
    </row>
    <row r="40" spans="3:6" ht="12.75" customHeight="1" x14ac:dyDescent="0.2">
      <c r="C40" s="176" t="s">
        <v>309</v>
      </c>
      <c r="D40" s="177">
        <v>745</v>
      </c>
      <c r="E40" s="184">
        <v>46.5</v>
      </c>
      <c r="F40" s="184">
        <v>60</v>
      </c>
    </row>
    <row r="41" spans="3:6" ht="12.75" customHeight="1" x14ac:dyDescent="0.2">
      <c r="C41" s="72" t="s">
        <v>309</v>
      </c>
      <c r="D41" s="77">
        <v>814</v>
      </c>
      <c r="E41" s="184">
        <v>60</v>
      </c>
      <c r="F41" s="184">
        <v>72</v>
      </c>
    </row>
    <row r="42" spans="3:6" ht="12.75" customHeight="1" x14ac:dyDescent="0.2">
      <c r="C42" s="72" t="s">
        <v>309</v>
      </c>
      <c r="D42" s="77">
        <v>830</v>
      </c>
      <c r="E42" s="184">
        <v>39.4</v>
      </c>
      <c r="F42" s="184">
        <v>52</v>
      </c>
    </row>
    <row r="43" spans="3:6" ht="12.75" customHeight="1" x14ac:dyDescent="0.2">
      <c r="C43" s="72" t="s">
        <v>309</v>
      </c>
      <c r="D43" s="77">
        <v>840</v>
      </c>
      <c r="E43" s="184">
        <v>47</v>
      </c>
      <c r="F43" s="184">
        <v>51</v>
      </c>
    </row>
    <row r="44" spans="3:6" ht="12.75" customHeight="1" x14ac:dyDescent="0.2">
      <c r="C44" s="72" t="s">
        <v>309</v>
      </c>
      <c r="D44" s="77">
        <v>845</v>
      </c>
      <c r="E44" s="184">
        <v>46.5</v>
      </c>
      <c r="F44" s="184">
        <v>60</v>
      </c>
    </row>
    <row r="45" spans="3:6" ht="12.75" customHeight="1" x14ac:dyDescent="0.2">
      <c r="C45" s="72" t="s">
        <v>309</v>
      </c>
      <c r="D45" s="77">
        <v>855</v>
      </c>
      <c r="E45" s="184">
        <v>61.5</v>
      </c>
      <c r="F45" s="184">
        <v>60</v>
      </c>
    </row>
    <row r="46" spans="3:6" ht="12.75" customHeight="1" x14ac:dyDescent="0.2">
      <c r="C46" s="72" t="s">
        <v>309</v>
      </c>
      <c r="D46" s="77">
        <v>945</v>
      </c>
      <c r="E46" s="184">
        <v>46.5</v>
      </c>
      <c r="F46" s="184">
        <v>60</v>
      </c>
    </row>
    <row r="47" spans="3:6" ht="12.75" customHeight="1" x14ac:dyDescent="0.2">
      <c r="C47" s="72" t="s">
        <v>309</v>
      </c>
      <c r="D47" s="77">
        <v>946</v>
      </c>
      <c r="E47" s="184">
        <v>46.5</v>
      </c>
      <c r="F47" s="184">
        <v>72</v>
      </c>
    </row>
    <row r="48" spans="3:6" ht="12.75" customHeight="1" x14ac:dyDescent="0.2">
      <c r="C48" s="72" t="s">
        <v>309</v>
      </c>
      <c r="D48" s="77">
        <v>955</v>
      </c>
      <c r="E48" s="184">
        <v>61.5</v>
      </c>
      <c r="F48" s="184">
        <v>60</v>
      </c>
    </row>
    <row r="49" spans="3:6" ht="12.75" customHeight="1" x14ac:dyDescent="0.2">
      <c r="C49" s="72" t="s">
        <v>309</v>
      </c>
      <c r="D49" s="77">
        <v>956</v>
      </c>
      <c r="E49" s="184">
        <v>61.5</v>
      </c>
      <c r="F49" s="184">
        <v>72</v>
      </c>
    </row>
    <row r="50" spans="3:6" ht="12.75" customHeight="1" x14ac:dyDescent="0.2">
      <c r="C50" s="176" t="s">
        <v>309</v>
      </c>
      <c r="D50" s="177">
        <v>1734</v>
      </c>
      <c r="E50" s="184">
        <v>39</v>
      </c>
      <c r="F50" s="184">
        <v>52</v>
      </c>
    </row>
    <row r="51" spans="3:6" ht="12.75" customHeight="1" x14ac:dyDescent="0.2">
      <c r="C51" s="176" t="s">
        <v>309</v>
      </c>
      <c r="D51" s="177">
        <v>1745</v>
      </c>
      <c r="E51" s="184">
        <v>46.5</v>
      </c>
      <c r="F51" s="184">
        <v>60</v>
      </c>
    </row>
    <row r="52" spans="3:6" ht="12.75" customHeight="1" x14ac:dyDescent="0.2">
      <c r="C52" s="176" t="s">
        <v>309</v>
      </c>
      <c r="D52" s="177">
        <v>1746</v>
      </c>
      <c r="E52" s="184">
        <v>46.5</v>
      </c>
      <c r="F52" s="184">
        <v>72</v>
      </c>
    </row>
    <row r="53" spans="3:6" ht="12.75" customHeight="1" x14ac:dyDescent="0.2">
      <c r="C53" s="176" t="s">
        <v>309</v>
      </c>
      <c r="D53" s="177">
        <v>1756</v>
      </c>
      <c r="E53" s="184">
        <v>61.5</v>
      </c>
      <c r="F53" s="184">
        <v>72</v>
      </c>
    </row>
    <row r="54" spans="3:6" ht="12.75" customHeight="1" x14ac:dyDescent="0.2">
      <c r="C54" s="176" t="s">
        <v>309</v>
      </c>
      <c r="D54" s="177">
        <v>2745</v>
      </c>
      <c r="E54" s="184">
        <v>46.5</v>
      </c>
      <c r="F54" s="184">
        <v>60</v>
      </c>
    </row>
    <row r="55" spans="3:6" ht="12.75" customHeight="1" x14ac:dyDescent="0.2">
      <c r="C55" s="176" t="s">
        <v>309</v>
      </c>
      <c r="D55" s="177">
        <v>2846</v>
      </c>
      <c r="E55" s="184">
        <v>46.5</v>
      </c>
      <c r="F55" s="184">
        <v>72</v>
      </c>
    </row>
    <row r="56" spans="3:6" ht="12.75" customHeight="1" x14ac:dyDescent="0.2">
      <c r="C56" s="176" t="s">
        <v>309</v>
      </c>
      <c r="D56" s="177">
        <v>2856</v>
      </c>
      <c r="E56" s="184">
        <v>61.5</v>
      </c>
      <c r="F56" s="184">
        <v>72</v>
      </c>
    </row>
    <row r="57" spans="3:6" ht="12.75" customHeight="1" x14ac:dyDescent="0.2">
      <c r="C57" s="176" t="s">
        <v>309</v>
      </c>
      <c r="D57" s="185">
        <v>5134</v>
      </c>
      <c r="E57" s="184">
        <v>39</v>
      </c>
      <c r="F57" s="184">
        <v>52</v>
      </c>
    </row>
    <row r="58" spans="3:6" ht="12.75" customHeight="1" x14ac:dyDescent="0.2">
      <c r="C58" s="176" t="s">
        <v>309</v>
      </c>
      <c r="D58" s="177">
        <v>5145</v>
      </c>
      <c r="E58" s="184">
        <v>46.5</v>
      </c>
      <c r="F58" s="184">
        <v>60</v>
      </c>
    </row>
    <row r="59" spans="3:6" ht="12.75" customHeight="1" x14ac:dyDescent="0.2">
      <c r="C59" s="176" t="s">
        <v>309</v>
      </c>
      <c r="D59" s="177">
        <v>5146</v>
      </c>
      <c r="E59" s="184">
        <v>46.5</v>
      </c>
      <c r="F59" s="184">
        <v>72</v>
      </c>
    </row>
    <row r="60" spans="3:6" ht="12.75" customHeight="1" x14ac:dyDescent="0.2">
      <c r="C60" s="176" t="s">
        <v>309</v>
      </c>
      <c r="D60" s="177">
        <v>5156</v>
      </c>
      <c r="E60" s="184">
        <v>61.5</v>
      </c>
      <c r="F60" s="184">
        <v>72</v>
      </c>
    </row>
    <row r="61" spans="3:6" ht="12.75" customHeight="1" x14ac:dyDescent="0.2">
      <c r="C61" s="72" t="s">
        <v>309</v>
      </c>
      <c r="D61" s="77">
        <v>5510</v>
      </c>
      <c r="E61" s="184">
        <v>60</v>
      </c>
      <c r="F61" s="184">
        <v>60</v>
      </c>
    </row>
    <row r="62" spans="3:6" ht="12.75" customHeight="1" x14ac:dyDescent="0.2">
      <c r="C62" s="72" t="s">
        <v>309</v>
      </c>
      <c r="D62" s="77">
        <v>5530</v>
      </c>
      <c r="E62" s="184">
        <v>39.4</v>
      </c>
      <c r="F62" s="184">
        <v>52</v>
      </c>
    </row>
    <row r="63" spans="3:6" ht="12.75" customHeight="1" x14ac:dyDescent="0.2">
      <c r="C63" s="72" t="s">
        <v>309</v>
      </c>
      <c r="D63" s="77">
        <v>5540</v>
      </c>
      <c r="E63" s="184">
        <v>47</v>
      </c>
      <c r="F63" s="184">
        <v>72</v>
      </c>
    </row>
    <row r="64" spans="3:6" ht="12.75" customHeight="1" x14ac:dyDescent="0.2">
      <c r="C64" s="72" t="s">
        <v>309</v>
      </c>
      <c r="D64" s="77">
        <v>5545</v>
      </c>
      <c r="E64" s="184">
        <v>48</v>
      </c>
      <c r="F64" s="184">
        <v>70</v>
      </c>
    </row>
    <row r="65" spans="3:6" ht="12.75" customHeight="1" x14ac:dyDescent="0.2">
      <c r="C65" s="176" t="s">
        <v>309</v>
      </c>
      <c r="D65" s="177">
        <v>5545</v>
      </c>
      <c r="E65" s="184">
        <v>46.5</v>
      </c>
      <c r="F65" s="184">
        <v>60</v>
      </c>
    </row>
    <row r="66" spans="3:6" ht="12.75" customHeight="1" x14ac:dyDescent="0.2">
      <c r="C66" s="176" t="s">
        <v>309</v>
      </c>
      <c r="D66" s="177">
        <v>5546</v>
      </c>
      <c r="E66" s="184">
        <v>46.5</v>
      </c>
      <c r="F66" s="184">
        <v>72</v>
      </c>
    </row>
    <row r="67" spans="3:6" ht="12.75" customHeight="1" x14ac:dyDescent="0.2">
      <c r="C67" s="176" t="s">
        <v>309</v>
      </c>
      <c r="D67" s="177">
        <v>5556</v>
      </c>
      <c r="E67" s="184">
        <v>61.5</v>
      </c>
      <c r="F67" s="184">
        <v>72</v>
      </c>
    </row>
    <row r="68" spans="3:6" ht="12.75" customHeight="1" x14ac:dyDescent="0.2">
      <c r="C68" s="72" t="s">
        <v>309</v>
      </c>
      <c r="D68" s="77">
        <v>5580</v>
      </c>
      <c r="E68" s="184">
        <v>60</v>
      </c>
      <c r="F68" s="184">
        <v>72</v>
      </c>
    </row>
    <row r="69" spans="3:6" ht="12.75" customHeight="1" x14ac:dyDescent="0.2">
      <c r="C69" s="72" t="s">
        <v>309</v>
      </c>
      <c r="D69" s="77">
        <v>5585</v>
      </c>
      <c r="E69" s="184">
        <v>60</v>
      </c>
      <c r="F69" s="184">
        <v>70</v>
      </c>
    </row>
    <row r="70" spans="3:6" ht="12.75" customHeight="1" x14ac:dyDescent="0.2">
      <c r="C70" s="176" t="s">
        <v>309</v>
      </c>
      <c r="D70" s="177" t="s">
        <v>310</v>
      </c>
      <c r="E70" s="184">
        <v>61.5</v>
      </c>
      <c r="F70" s="184">
        <v>72</v>
      </c>
    </row>
    <row r="71" spans="3:6" ht="12.75" customHeight="1" x14ac:dyDescent="0.2">
      <c r="C71" s="176" t="s">
        <v>309</v>
      </c>
      <c r="D71" s="177" t="s">
        <v>311</v>
      </c>
      <c r="E71" s="184">
        <v>46.5</v>
      </c>
      <c r="F71" s="184">
        <v>72</v>
      </c>
    </row>
    <row r="72" spans="3:6" ht="12.75" customHeight="1" x14ac:dyDescent="0.2">
      <c r="C72" s="72" t="s">
        <v>309</v>
      </c>
      <c r="D72" s="77" t="s">
        <v>85</v>
      </c>
      <c r="E72" s="184">
        <v>46.5</v>
      </c>
      <c r="F72" s="184">
        <v>75</v>
      </c>
    </row>
    <row r="73" spans="3:6" ht="12.75" customHeight="1" x14ac:dyDescent="0.2">
      <c r="C73" s="176" t="s">
        <v>309</v>
      </c>
      <c r="D73" s="177" t="s">
        <v>85</v>
      </c>
      <c r="E73" s="184">
        <v>46.5</v>
      </c>
      <c r="F73" s="184">
        <v>72</v>
      </c>
    </row>
    <row r="74" spans="3:6" ht="12.75" customHeight="1" x14ac:dyDescent="0.2">
      <c r="C74" s="72" t="s">
        <v>309</v>
      </c>
      <c r="D74" s="77" t="s">
        <v>87</v>
      </c>
      <c r="E74" s="184">
        <v>61.5</v>
      </c>
      <c r="F74" s="184">
        <v>72</v>
      </c>
    </row>
    <row r="75" spans="3:6" ht="12.75" customHeight="1" x14ac:dyDescent="0.2">
      <c r="C75" s="176" t="s">
        <v>309</v>
      </c>
      <c r="D75" s="177" t="s">
        <v>87</v>
      </c>
      <c r="E75" s="184">
        <v>61.5</v>
      </c>
      <c r="F75" s="184">
        <v>72</v>
      </c>
    </row>
    <row r="76" spans="3:6" ht="12.75" customHeight="1" x14ac:dyDescent="0.2">
      <c r="C76" s="72" t="s">
        <v>309</v>
      </c>
      <c r="D76" s="77" t="s">
        <v>84</v>
      </c>
      <c r="E76" s="184">
        <v>46.5</v>
      </c>
      <c r="F76" s="184">
        <v>72</v>
      </c>
    </row>
    <row r="77" spans="3:6" ht="12.75" customHeight="1" x14ac:dyDescent="0.2">
      <c r="C77" s="72" t="s">
        <v>309</v>
      </c>
      <c r="D77" s="77" t="s">
        <v>86</v>
      </c>
      <c r="E77" s="184">
        <v>61.5</v>
      </c>
      <c r="F77" s="184">
        <v>72</v>
      </c>
    </row>
    <row r="78" spans="3:6" ht="12.75" customHeight="1" x14ac:dyDescent="0.2">
      <c r="C78" s="176" t="s">
        <v>309</v>
      </c>
      <c r="D78" s="177" t="s">
        <v>86</v>
      </c>
      <c r="E78" s="184">
        <v>61.5</v>
      </c>
      <c r="F78" s="184">
        <v>72</v>
      </c>
    </row>
    <row r="79" spans="3:6" ht="12.75" customHeight="1" x14ac:dyDescent="0.2">
      <c r="C79" s="72" t="s">
        <v>312</v>
      </c>
      <c r="D79" s="77">
        <v>1450</v>
      </c>
      <c r="E79" s="184">
        <v>45</v>
      </c>
      <c r="F79" s="184">
        <v>60</v>
      </c>
    </row>
    <row r="80" spans="3:6" ht="12.75" customHeight="1" x14ac:dyDescent="0.2">
      <c r="C80" s="72" t="s">
        <v>312</v>
      </c>
      <c r="D80" s="77">
        <v>1460</v>
      </c>
      <c r="E80" s="184">
        <v>45</v>
      </c>
      <c r="F80" s="184">
        <v>60</v>
      </c>
    </row>
    <row r="81" spans="3:6" ht="12.75" customHeight="1" x14ac:dyDescent="0.2">
      <c r="C81" s="72" t="s">
        <v>312</v>
      </c>
      <c r="D81" s="77">
        <v>1465</v>
      </c>
      <c r="E81" s="184">
        <v>45</v>
      </c>
      <c r="F81" s="184">
        <v>60</v>
      </c>
    </row>
    <row r="82" spans="3:6" ht="12.75" customHeight="1" x14ac:dyDescent="0.2">
      <c r="C82" s="72" t="s">
        <v>312</v>
      </c>
      <c r="D82" s="77">
        <v>1470</v>
      </c>
      <c r="E82" s="184">
        <v>45</v>
      </c>
      <c r="F82" s="184">
        <v>60</v>
      </c>
    </row>
    <row r="83" spans="3:6" ht="12.75" customHeight="1" x14ac:dyDescent="0.2">
      <c r="C83" s="72" t="s">
        <v>312</v>
      </c>
      <c r="D83" s="77">
        <v>1475</v>
      </c>
      <c r="E83" s="184">
        <v>45</v>
      </c>
      <c r="F83" s="184">
        <v>60</v>
      </c>
    </row>
    <row r="84" spans="3:6" ht="12.75" customHeight="1" x14ac:dyDescent="0.2">
      <c r="C84" s="72" t="s">
        <v>312</v>
      </c>
      <c r="D84" s="77">
        <v>1850</v>
      </c>
      <c r="E84" s="184">
        <v>61</v>
      </c>
      <c r="F84" s="184">
        <v>72</v>
      </c>
    </row>
    <row r="85" spans="3:6" ht="12.75" customHeight="1" x14ac:dyDescent="0.2">
      <c r="C85" s="72" t="s">
        <v>312</v>
      </c>
      <c r="D85" s="77">
        <v>1860</v>
      </c>
      <c r="E85" s="184">
        <v>61</v>
      </c>
      <c r="F85" s="184">
        <v>72</v>
      </c>
    </row>
    <row r="86" spans="3:6" ht="12.75" customHeight="1" x14ac:dyDescent="0.2">
      <c r="C86" s="72" t="s">
        <v>312</v>
      </c>
      <c r="D86" s="77">
        <v>1865</v>
      </c>
      <c r="E86" s="184">
        <v>61</v>
      </c>
      <c r="F86" s="184">
        <v>72</v>
      </c>
    </row>
    <row r="87" spans="3:6" ht="12.75" customHeight="1" x14ac:dyDescent="0.2">
      <c r="C87" s="72" t="s">
        <v>312</v>
      </c>
      <c r="D87" s="77">
        <v>1870</v>
      </c>
      <c r="E87" s="184">
        <v>61</v>
      </c>
      <c r="F87" s="184">
        <v>72</v>
      </c>
    </row>
    <row r="88" spans="3:6" ht="12.75" customHeight="1" x14ac:dyDescent="0.2">
      <c r="C88" s="72" t="s">
        <v>312</v>
      </c>
      <c r="D88" s="77">
        <v>1875</v>
      </c>
      <c r="E88" s="184">
        <v>61</v>
      </c>
      <c r="F88" s="184">
        <v>72</v>
      </c>
    </row>
    <row r="89" spans="3:6" ht="12.75" customHeight="1" x14ac:dyDescent="0.2">
      <c r="C89" s="72" t="s">
        <v>312</v>
      </c>
      <c r="D89" s="77">
        <v>2580</v>
      </c>
      <c r="E89" s="184">
        <v>45</v>
      </c>
      <c r="F89" s="184">
        <v>60</v>
      </c>
    </row>
    <row r="90" spans="3:6" ht="12.75" customHeight="1" x14ac:dyDescent="0.2">
      <c r="C90" s="72" t="s">
        <v>312</v>
      </c>
      <c r="D90" s="77">
        <v>2880</v>
      </c>
      <c r="E90" s="184">
        <v>61</v>
      </c>
      <c r="F90" s="184">
        <v>72</v>
      </c>
    </row>
    <row r="91" spans="3:6" ht="12.75" customHeight="1" x14ac:dyDescent="0.2">
      <c r="C91" s="72" t="s">
        <v>312</v>
      </c>
      <c r="D91" s="77" t="s">
        <v>88</v>
      </c>
      <c r="E91" s="184">
        <v>61</v>
      </c>
      <c r="F91" s="184">
        <v>72</v>
      </c>
    </row>
    <row r="92" spans="3:6" ht="12.75" customHeight="1" x14ac:dyDescent="0.2">
      <c r="C92" s="72" t="s">
        <v>89</v>
      </c>
      <c r="D92" s="77">
        <v>330</v>
      </c>
      <c r="E92" s="184">
        <v>46.1</v>
      </c>
      <c r="F92" s="184">
        <v>51</v>
      </c>
    </row>
    <row r="93" spans="3:6" ht="12.75" customHeight="1" x14ac:dyDescent="0.2">
      <c r="C93" s="72" t="s">
        <v>89</v>
      </c>
      <c r="D93" s="77">
        <v>335</v>
      </c>
      <c r="E93" s="184">
        <v>46.1</v>
      </c>
      <c r="F93" s="184">
        <v>51</v>
      </c>
    </row>
    <row r="94" spans="3:6" ht="12.75" customHeight="1" x14ac:dyDescent="0.2">
      <c r="C94" s="72" t="s">
        <v>89</v>
      </c>
      <c r="D94" s="77">
        <v>375</v>
      </c>
      <c r="E94" s="184">
        <v>61.6</v>
      </c>
      <c r="F94" s="184">
        <v>51</v>
      </c>
    </row>
    <row r="95" spans="3:6" ht="12.75" customHeight="1" x14ac:dyDescent="0.2">
      <c r="C95" s="72" t="s">
        <v>89</v>
      </c>
      <c r="D95" s="77">
        <v>385</v>
      </c>
      <c r="E95" s="184">
        <v>46.1</v>
      </c>
      <c r="F95" s="184">
        <v>60</v>
      </c>
    </row>
    <row r="96" spans="3:6" ht="12.75" customHeight="1" x14ac:dyDescent="0.2">
      <c r="C96" s="72" t="s">
        <v>89</v>
      </c>
      <c r="D96" s="77">
        <v>410</v>
      </c>
      <c r="E96" s="184">
        <v>48</v>
      </c>
      <c r="F96" s="184">
        <v>60</v>
      </c>
    </row>
    <row r="97" spans="3:6" ht="12.75" customHeight="1" x14ac:dyDescent="0.2">
      <c r="C97" s="72" t="s">
        <v>89</v>
      </c>
      <c r="D97" s="77">
        <v>430</v>
      </c>
      <c r="E97" s="184">
        <v>46.1</v>
      </c>
      <c r="F97" s="184">
        <v>72</v>
      </c>
    </row>
    <row r="98" spans="3:6" ht="12.75" customHeight="1" x14ac:dyDescent="0.2">
      <c r="C98" s="72" t="s">
        <v>89</v>
      </c>
      <c r="D98" s="77">
        <v>435</v>
      </c>
      <c r="E98" s="184">
        <v>46.1</v>
      </c>
      <c r="F98" s="184">
        <v>72</v>
      </c>
    </row>
    <row r="99" spans="3:6" ht="12.75" customHeight="1" x14ac:dyDescent="0.2">
      <c r="C99" s="72" t="s">
        <v>89</v>
      </c>
      <c r="D99" s="77">
        <v>446</v>
      </c>
      <c r="E99" s="184">
        <v>46.1</v>
      </c>
      <c r="F99" s="184">
        <v>51</v>
      </c>
    </row>
    <row r="100" spans="3:6" ht="12.75" customHeight="1" x14ac:dyDescent="0.2">
      <c r="C100" s="72" t="s">
        <v>89</v>
      </c>
      <c r="D100" s="77">
        <v>447</v>
      </c>
      <c r="E100" s="184">
        <v>46.1</v>
      </c>
      <c r="F100" s="184">
        <v>51</v>
      </c>
    </row>
    <row r="101" spans="3:6" ht="12.75" customHeight="1" x14ac:dyDescent="0.2">
      <c r="C101" s="176" t="s">
        <v>89</v>
      </c>
      <c r="D101" s="177">
        <v>448</v>
      </c>
      <c r="E101" s="184">
        <v>46</v>
      </c>
      <c r="F101" s="184">
        <v>51</v>
      </c>
    </row>
    <row r="102" spans="3:6" ht="12.75" customHeight="1" x14ac:dyDescent="0.2">
      <c r="C102" s="72" t="s">
        <v>89</v>
      </c>
      <c r="D102" s="77">
        <v>456</v>
      </c>
      <c r="E102" s="184">
        <v>46.1</v>
      </c>
      <c r="F102" s="184">
        <v>60</v>
      </c>
    </row>
    <row r="103" spans="3:6" ht="12.75" customHeight="1" x14ac:dyDescent="0.2">
      <c r="C103" s="72" t="s">
        <v>89</v>
      </c>
      <c r="D103" s="77">
        <v>457</v>
      </c>
      <c r="E103" s="184">
        <v>46.1</v>
      </c>
      <c r="F103" s="184">
        <v>60</v>
      </c>
    </row>
    <row r="104" spans="3:6" ht="12.75" customHeight="1" x14ac:dyDescent="0.2">
      <c r="C104" s="176" t="s">
        <v>89</v>
      </c>
      <c r="D104" s="177">
        <v>458</v>
      </c>
      <c r="E104" s="184">
        <v>46.1</v>
      </c>
      <c r="F104" s="184">
        <v>60</v>
      </c>
    </row>
    <row r="105" spans="3:6" ht="12.75" customHeight="1" x14ac:dyDescent="0.2">
      <c r="C105" s="72" t="s">
        <v>89</v>
      </c>
      <c r="D105" s="77">
        <v>466</v>
      </c>
      <c r="E105" s="184">
        <v>46.1</v>
      </c>
      <c r="F105" s="184">
        <v>72</v>
      </c>
    </row>
    <row r="106" spans="3:6" ht="12.75" customHeight="1" x14ac:dyDescent="0.2">
      <c r="C106" s="72" t="s">
        <v>89</v>
      </c>
      <c r="D106" s="77">
        <v>467</v>
      </c>
      <c r="E106" s="184">
        <v>46.1</v>
      </c>
      <c r="F106" s="184">
        <v>72</v>
      </c>
    </row>
    <row r="107" spans="3:6" ht="12.75" customHeight="1" x14ac:dyDescent="0.2">
      <c r="C107" s="176" t="s">
        <v>89</v>
      </c>
      <c r="D107" s="177">
        <v>468</v>
      </c>
      <c r="E107" s="184">
        <v>46</v>
      </c>
      <c r="F107" s="184">
        <v>72</v>
      </c>
    </row>
    <row r="108" spans="3:6" ht="12.75" customHeight="1" x14ac:dyDescent="0.2">
      <c r="C108" s="72" t="s">
        <v>89</v>
      </c>
      <c r="D108" s="77">
        <v>510</v>
      </c>
      <c r="E108" s="184">
        <v>63</v>
      </c>
      <c r="F108" s="184">
        <v>72</v>
      </c>
    </row>
    <row r="109" spans="3:6" ht="12.75" customHeight="1" x14ac:dyDescent="0.2">
      <c r="C109" s="72" t="s">
        <v>89</v>
      </c>
      <c r="D109" s="77">
        <v>530</v>
      </c>
      <c r="E109" s="184">
        <v>61.6</v>
      </c>
      <c r="F109" s="184">
        <v>72</v>
      </c>
    </row>
    <row r="110" spans="3:6" ht="12.75" customHeight="1" x14ac:dyDescent="0.2">
      <c r="C110" s="72" t="s">
        <v>89</v>
      </c>
      <c r="D110" s="77">
        <v>535</v>
      </c>
      <c r="E110" s="184">
        <v>61.6</v>
      </c>
      <c r="F110" s="184">
        <v>72</v>
      </c>
    </row>
    <row r="111" spans="3:6" ht="12.75" customHeight="1" x14ac:dyDescent="0.2">
      <c r="C111" s="72" t="s">
        <v>89</v>
      </c>
      <c r="D111" s="77">
        <v>546</v>
      </c>
      <c r="E111" s="184">
        <v>61.6</v>
      </c>
      <c r="F111" s="184">
        <v>51</v>
      </c>
    </row>
    <row r="112" spans="3:6" ht="12.75" customHeight="1" x14ac:dyDescent="0.2">
      <c r="C112" s="72" t="s">
        <v>89</v>
      </c>
      <c r="D112" s="77">
        <v>547</v>
      </c>
      <c r="E112" s="184">
        <v>61.6</v>
      </c>
      <c r="F112" s="184">
        <v>51</v>
      </c>
    </row>
    <row r="113" spans="3:6" ht="12.75" customHeight="1" x14ac:dyDescent="0.2">
      <c r="C113" s="72" t="s">
        <v>89</v>
      </c>
      <c r="D113" s="77">
        <v>566</v>
      </c>
      <c r="E113" s="184">
        <v>61.6</v>
      </c>
      <c r="F113" s="184">
        <v>72</v>
      </c>
    </row>
    <row r="114" spans="3:6" ht="12.75" customHeight="1" x14ac:dyDescent="0.2">
      <c r="C114" s="72" t="s">
        <v>89</v>
      </c>
      <c r="D114" s="77">
        <v>567</v>
      </c>
      <c r="E114" s="184">
        <v>61.6</v>
      </c>
      <c r="F114" s="184">
        <v>72</v>
      </c>
    </row>
    <row r="115" spans="3:6" ht="12.75" customHeight="1" x14ac:dyDescent="0.2">
      <c r="C115" s="176" t="s">
        <v>89</v>
      </c>
      <c r="D115" s="177">
        <v>568</v>
      </c>
      <c r="E115" s="184">
        <v>61.6</v>
      </c>
      <c r="F115" s="184">
        <v>72</v>
      </c>
    </row>
    <row r="116" spans="3:6" ht="12.75" customHeight="1" x14ac:dyDescent="0.2">
      <c r="C116" s="72" t="s">
        <v>89</v>
      </c>
      <c r="D116" s="77" t="s">
        <v>90</v>
      </c>
      <c r="E116" s="184">
        <v>46.1</v>
      </c>
      <c r="F116" s="184">
        <v>61</v>
      </c>
    </row>
    <row r="117" spans="3:6" ht="12.75" customHeight="1" x14ac:dyDescent="0.2">
      <c r="C117" s="176" t="s">
        <v>89</v>
      </c>
      <c r="D117" s="177" t="s">
        <v>313</v>
      </c>
      <c r="E117" s="184">
        <v>46.1</v>
      </c>
      <c r="F117" s="184">
        <v>60</v>
      </c>
    </row>
    <row r="118" spans="3:6" ht="12.75" customHeight="1" x14ac:dyDescent="0.2">
      <c r="C118" s="72" t="s">
        <v>91</v>
      </c>
      <c r="D118" s="77">
        <v>1250</v>
      </c>
      <c r="E118" s="184">
        <v>48</v>
      </c>
      <c r="F118" s="184">
        <v>48</v>
      </c>
    </row>
    <row r="119" spans="3:6" ht="12.75" customHeight="1" x14ac:dyDescent="0.2">
      <c r="C119" s="72" t="s">
        <v>91</v>
      </c>
      <c r="D119" s="77">
        <v>1800</v>
      </c>
      <c r="E119" s="184">
        <v>48</v>
      </c>
      <c r="F119" s="184">
        <v>72</v>
      </c>
    </row>
    <row r="120" spans="3:6" ht="12.75" customHeight="1" x14ac:dyDescent="0.2">
      <c r="C120" s="72" t="s">
        <v>91</v>
      </c>
      <c r="D120" s="77" t="s">
        <v>93</v>
      </c>
      <c r="E120" s="184">
        <v>48</v>
      </c>
      <c r="F120" s="184">
        <v>48</v>
      </c>
    </row>
    <row r="121" spans="3:6" ht="12.75" customHeight="1" x14ac:dyDescent="0.2">
      <c r="C121" s="72" t="s">
        <v>91</v>
      </c>
      <c r="D121" s="77" t="s">
        <v>92</v>
      </c>
      <c r="E121" s="184">
        <v>48</v>
      </c>
      <c r="F121" s="184">
        <v>48</v>
      </c>
    </row>
    <row r="122" spans="3:6" ht="12.75" customHeight="1" x14ac:dyDescent="0.2">
      <c r="C122" s="72" t="s">
        <v>91</v>
      </c>
      <c r="D122" s="77" t="s">
        <v>96</v>
      </c>
      <c r="E122" s="184">
        <v>48</v>
      </c>
      <c r="F122" s="184">
        <v>48</v>
      </c>
    </row>
    <row r="123" spans="3:6" ht="12.75" customHeight="1" x14ac:dyDescent="0.2">
      <c r="C123" s="72" t="s">
        <v>91</v>
      </c>
      <c r="D123" s="77" t="s">
        <v>94</v>
      </c>
      <c r="E123" s="184">
        <v>48</v>
      </c>
      <c r="F123" s="184">
        <v>48</v>
      </c>
    </row>
    <row r="124" spans="3:6" ht="12.75" customHeight="1" x14ac:dyDescent="0.2">
      <c r="C124" s="72" t="s">
        <v>91</v>
      </c>
      <c r="D124" s="77" t="s">
        <v>99</v>
      </c>
      <c r="E124" s="184">
        <v>60</v>
      </c>
      <c r="F124" s="184">
        <v>72</v>
      </c>
    </row>
    <row r="125" spans="3:6" ht="12.75" customHeight="1" x14ac:dyDescent="0.2">
      <c r="C125" s="72" t="s">
        <v>91</v>
      </c>
      <c r="D125" s="77" t="s">
        <v>95</v>
      </c>
      <c r="E125" s="184">
        <v>48</v>
      </c>
      <c r="F125" s="184">
        <v>48</v>
      </c>
    </row>
    <row r="126" spans="3:6" ht="12.75" customHeight="1" x14ac:dyDescent="0.2">
      <c r="C126" s="72" t="s">
        <v>91</v>
      </c>
      <c r="D126" s="77" t="s">
        <v>98</v>
      </c>
      <c r="E126" s="184">
        <v>60</v>
      </c>
      <c r="F126" s="184">
        <v>72</v>
      </c>
    </row>
    <row r="127" spans="3:6" ht="12.75" customHeight="1" x14ac:dyDescent="0.2">
      <c r="C127" s="176" t="s">
        <v>91</v>
      </c>
      <c r="D127" s="177" t="s">
        <v>314</v>
      </c>
      <c r="E127" s="184">
        <v>48</v>
      </c>
      <c r="F127" s="184">
        <v>72</v>
      </c>
    </row>
    <row r="128" spans="3:6" ht="12.75" customHeight="1" x14ac:dyDescent="0.2">
      <c r="C128" s="72" t="s">
        <v>91</v>
      </c>
      <c r="D128" s="77" t="s">
        <v>97</v>
      </c>
      <c r="E128" s="184">
        <v>48</v>
      </c>
      <c r="F128" s="184">
        <v>72</v>
      </c>
    </row>
    <row r="129" spans="3:6" ht="12.75" customHeight="1" x14ac:dyDescent="0.2">
      <c r="C129" s="72" t="s">
        <v>75</v>
      </c>
      <c r="D129" s="77">
        <v>630</v>
      </c>
      <c r="E129" s="184">
        <v>46.5</v>
      </c>
      <c r="F129" s="184">
        <v>48</v>
      </c>
    </row>
    <row r="130" spans="3:6" ht="12.75" customHeight="1" x14ac:dyDescent="0.2">
      <c r="C130" s="72" t="s">
        <v>75</v>
      </c>
      <c r="D130" s="77">
        <v>634</v>
      </c>
      <c r="E130" s="184">
        <v>46.5</v>
      </c>
      <c r="F130" s="184">
        <v>48</v>
      </c>
    </row>
    <row r="131" spans="3:6" ht="12.75" customHeight="1" x14ac:dyDescent="0.2">
      <c r="C131" s="72" t="s">
        <v>75</v>
      </c>
      <c r="D131" s="77">
        <v>638</v>
      </c>
      <c r="E131" s="184">
        <v>46.5</v>
      </c>
      <c r="F131" s="184">
        <v>48</v>
      </c>
    </row>
    <row r="132" spans="3:6" ht="12.75" customHeight="1" x14ac:dyDescent="0.2">
      <c r="C132" s="72" t="s">
        <v>75</v>
      </c>
      <c r="D132" s="77">
        <v>640</v>
      </c>
      <c r="E132" s="184">
        <v>46.5</v>
      </c>
      <c r="F132" s="184">
        <v>60</v>
      </c>
    </row>
    <row r="133" spans="3:6" ht="12.75" customHeight="1" x14ac:dyDescent="0.2">
      <c r="C133" s="72" t="s">
        <v>75</v>
      </c>
      <c r="D133" s="77">
        <v>644</v>
      </c>
      <c r="E133" s="184">
        <v>46.5</v>
      </c>
      <c r="F133" s="184">
        <v>60</v>
      </c>
    </row>
    <row r="134" spans="3:6" ht="12.75" customHeight="1" x14ac:dyDescent="0.2">
      <c r="C134" s="72" t="s">
        <v>75</v>
      </c>
      <c r="D134" s="77">
        <v>648</v>
      </c>
      <c r="E134" s="184">
        <v>46.5</v>
      </c>
      <c r="F134" s="184">
        <v>60</v>
      </c>
    </row>
    <row r="135" spans="3:6" ht="12.75" customHeight="1" x14ac:dyDescent="0.2">
      <c r="C135" s="72" t="s">
        <v>75</v>
      </c>
      <c r="D135" s="77">
        <v>650</v>
      </c>
      <c r="E135" s="184">
        <v>46.5</v>
      </c>
      <c r="F135" s="184">
        <v>72</v>
      </c>
    </row>
    <row r="136" spans="3:6" ht="12.75" customHeight="1" x14ac:dyDescent="0.2">
      <c r="C136" s="72" t="s">
        <v>75</v>
      </c>
      <c r="D136" s="77">
        <v>654</v>
      </c>
      <c r="E136" s="184">
        <v>46.5</v>
      </c>
      <c r="F136" s="184">
        <v>70</v>
      </c>
    </row>
    <row r="137" spans="3:6" ht="12.75" customHeight="1" x14ac:dyDescent="0.2">
      <c r="C137" s="72" t="s">
        <v>75</v>
      </c>
      <c r="D137" s="77">
        <v>658</v>
      </c>
      <c r="E137" s="184">
        <v>46.5</v>
      </c>
      <c r="F137" s="184">
        <v>70</v>
      </c>
    </row>
    <row r="138" spans="3:6" ht="12.75" customHeight="1" x14ac:dyDescent="0.2">
      <c r="C138" s="72" t="s">
        <v>75</v>
      </c>
      <c r="D138" s="77">
        <v>660</v>
      </c>
      <c r="E138" s="184">
        <v>61.5</v>
      </c>
      <c r="F138" s="184">
        <v>72</v>
      </c>
    </row>
    <row r="139" spans="3:6" ht="12.75" customHeight="1" x14ac:dyDescent="0.2">
      <c r="C139" s="72" t="s">
        <v>75</v>
      </c>
      <c r="D139" s="77">
        <v>664</v>
      </c>
      <c r="E139" s="184">
        <v>61.5</v>
      </c>
      <c r="F139" s="184">
        <v>70</v>
      </c>
    </row>
    <row r="140" spans="3:6" ht="12.75" customHeight="1" x14ac:dyDescent="0.2">
      <c r="C140" s="72" t="s">
        <v>75</v>
      </c>
      <c r="D140" s="77">
        <v>668</v>
      </c>
      <c r="E140" s="184">
        <v>61.5</v>
      </c>
      <c r="F140" s="184">
        <v>70</v>
      </c>
    </row>
    <row r="141" spans="3:6" ht="12.75" customHeight="1" x14ac:dyDescent="0.2">
      <c r="C141" s="176" t="s">
        <v>75</v>
      </c>
      <c r="D141" s="177">
        <v>688</v>
      </c>
      <c r="E141" s="184">
        <v>61.5</v>
      </c>
      <c r="F141" s="184">
        <v>70</v>
      </c>
    </row>
    <row r="142" spans="3:6" ht="12.75" customHeight="1" x14ac:dyDescent="0.2">
      <c r="C142" s="72" t="s">
        <v>75</v>
      </c>
      <c r="D142" s="77">
        <v>847</v>
      </c>
      <c r="E142" s="184">
        <v>48</v>
      </c>
      <c r="F142" s="184">
        <v>54</v>
      </c>
    </row>
    <row r="143" spans="3:6" ht="12.75" customHeight="1" x14ac:dyDescent="0.2">
      <c r="C143" s="72" t="s">
        <v>75</v>
      </c>
      <c r="D143" s="77">
        <v>848</v>
      </c>
      <c r="E143" s="184">
        <v>48</v>
      </c>
      <c r="F143" s="184">
        <v>54</v>
      </c>
    </row>
    <row r="144" spans="3:6" ht="12.75" customHeight="1" x14ac:dyDescent="0.2">
      <c r="C144" s="72" t="s">
        <v>75</v>
      </c>
      <c r="D144" s="77">
        <v>849</v>
      </c>
      <c r="E144" s="184">
        <v>57</v>
      </c>
      <c r="F144" s="184">
        <v>60</v>
      </c>
    </row>
    <row r="145" spans="2:7" ht="12.75" customHeight="1" x14ac:dyDescent="0.2">
      <c r="C145" s="72" t="s">
        <v>75</v>
      </c>
      <c r="D145" s="77">
        <v>852</v>
      </c>
      <c r="E145" s="184">
        <v>66</v>
      </c>
      <c r="F145" s="184">
        <v>66</v>
      </c>
    </row>
    <row r="146" spans="2:7" ht="12.75" customHeight="1" x14ac:dyDescent="0.2">
      <c r="C146" s="72" t="s">
        <v>75</v>
      </c>
      <c r="D146" s="77">
        <v>853</v>
      </c>
      <c r="E146" s="184">
        <v>57</v>
      </c>
      <c r="F146" s="184">
        <v>60</v>
      </c>
    </row>
    <row r="147" spans="2:7" ht="12.75" customHeight="1" x14ac:dyDescent="0.2">
      <c r="C147" s="72" t="s">
        <v>75</v>
      </c>
      <c r="D147" s="77">
        <v>855</v>
      </c>
      <c r="E147" s="184">
        <v>66</v>
      </c>
      <c r="F147" s="184">
        <v>66</v>
      </c>
    </row>
    <row r="148" spans="2:7" ht="12.75" customHeight="1" x14ac:dyDescent="0.2">
      <c r="C148" s="176" t="s">
        <v>75</v>
      </c>
      <c r="D148" s="177" t="s">
        <v>315</v>
      </c>
      <c r="E148" s="184">
        <v>46.5</v>
      </c>
      <c r="F148" s="184">
        <v>48</v>
      </c>
    </row>
    <row r="149" spans="2:7" ht="12.75" customHeight="1" x14ac:dyDescent="0.2">
      <c r="C149" s="176" t="s">
        <v>75</v>
      </c>
      <c r="D149" s="177" t="s">
        <v>316</v>
      </c>
      <c r="E149" s="184">
        <v>46.5</v>
      </c>
      <c r="F149" s="184">
        <v>60</v>
      </c>
    </row>
    <row r="150" spans="2:7" ht="12.75" customHeight="1" x14ac:dyDescent="0.2">
      <c r="C150" s="176" t="s">
        <v>75</v>
      </c>
      <c r="D150" s="177" t="s">
        <v>317</v>
      </c>
      <c r="E150" s="184">
        <v>46.5</v>
      </c>
      <c r="F150" s="184">
        <v>72</v>
      </c>
    </row>
    <row r="151" spans="2:7" ht="12.75" customHeight="1" x14ac:dyDescent="0.2">
      <c r="C151" s="176" t="s">
        <v>75</v>
      </c>
      <c r="D151" s="177" t="s">
        <v>318</v>
      </c>
      <c r="E151" s="184">
        <v>61.5</v>
      </c>
      <c r="F151" s="184">
        <v>72</v>
      </c>
    </row>
    <row r="152" spans="2:7" ht="12.75" customHeight="1" x14ac:dyDescent="0.2">
      <c r="C152" s="72" t="s">
        <v>75</v>
      </c>
      <c r="D152" s="77" t="s">
        <v>100</v>
      </c>
      <c r="E152" s="184">
        <v>46.5</v>
      </c>
      <c r="F152" s="184">
        <v>48</v>
      </c>
    </row>
    <row r="153" spans="2:7" ht="12.75" customHeight="1" x14ac:dyDescent="0.2">
      <c r="C153" s="72" t="s">
        <v>75</v>
      </c>
      <c r="D153" s="77" t="s">
        <v>295</v>
      </c>
      <c r="E153" s="184">
        <v>46.5</v>
      </c>
      <c r="F153" s="184">
        <v>48</v>
      </c>
    </row>
    <row r="154" spans="2:7" ht="12.75" customHeight="1" x14ac:dyDescent="0.2">
      <c r="C154" s="72" t="s">
        <v>75</v>
      </c>
      <c r="D154" s="77" t="s">
        <v>101</v>
      </c>
      <c r="E154" s="184">
        <v>46.5</v>
      </c>
      <c r="F154" s="184">
        <v>60</v>
      </c>
    </row>
    <row r="155" spans="2:7" ht="12.75" customHeight="1" x14ac:dyDescent="0.2">
      <c r="C155" s="72" t="s">
        <v>75</v>
      </c>
      <c r="D155" s="77" t="s">
        <v>296</v>
      </c>
      <c r="E155" s="184">
        <v>46.5</v>
      </c>
      <c r="F155" s="184">
        <v>60</v>
      </c>
    </row>
    <row r="156" spans="2:7" ht="12.75" customHeight="1" x14ac:dyDescent="0.2">
      <c r="C156" s="72" t="s">
        <v>75</v>
      </c>
      <c r="D156" s="77" t="s">
        <v>297</v>
      </c>
      <c r="E156" s="184">
        <v>46.5</v>
      </c>
      <c r="F156" s="184">
        <v>72</v>
      </c>
    </row>
    <row r="157" spans="2:7" ht="12.75" customHeight="1" x14ac:dyDescent="0.2">
      <c r="C157" s="72" t="s">
        <v>75</v>
      </c>
      <c r="D157" s="77" t="s">
        <v>298</v>
      </c>
      <c r="E157" s="186">
        <v>46.5</v>
      </c>
      <c r="F157" s="186">
        <v>72</v>
      </c>
    </row>
    <row r="158" spans="2:7" ht="12.75" customHeight="1" x14ac:dyDescent="0.2">
      <c r="B158" s="92"/>
      <c r="C158" s="72" t="s">
        <v>75</v>
      </c>
      <c r="D158" s="77" t="s">
        <v>102</v>
      </c>
      <c r="E158" s="186">
        <v>61.5</v>
      </c>
      <c r="F158" s="186">
        <v>72</v>
      </c>
      <c r="G158" s="92"/>
    </row>
    <row r="159" spans="2:7" ht="12.75" customHeight="1" x14ac:dyDescent="0.2">
      <c r="C159" s="72" t="s">
        <v>75</v>
      </c>
      <c r="D159" s="77" t="s">
        <v>299</v>
      </c>
      <c r="E159" s="187">
        <v>61.5</v>
      </c>
      <c r="F159" s="187">
        <v>72</v>
      </c>
    </row>
    <row r="160" spans="2:7" ht="12.75" customHeight="1" x14ac:dyDescent="0.2">
      <c r="C160" s="72" t="s">
        <v>103</v>
      </c>
      <c r="D160" s="77">
        <v>5400</v>
      </c>
      <c r="E160" s="187">
        <v>48</v>
      </c>
      <c r="F160" s="187">
        <v>60</v>
      </c>
    </row>
    <row r="161" spans="3:6" ht="12.75" customHeight="1" x14ac:dyDescent="0.2">
      <c r="C161" s="72" t="s">
        <v>103</v>
      </c>
      <c r="D161" s="77">
        <v>5500</v>
      </c>
      <c r="E161" s="184">
        <v>60</v>
      </c>
      <c r="F161" s="184">
        <v>60</v>
      </c>
    </row>
    <row r="162" spans="3:6" ht="12.75" customHeight="1" x14ac:dyDescent="0.2">
      <c r="C162" s="72" t="s">
        <v>103</v>
      </c>
      <c r="D162" s="77" t="s">
        <v>107</v>
      </c>
      <c r="E162" s="184">
        <v>36</v>
      </c>
      <c r="F162" s="184">
        <v>48</v>
      </c>
    </row>
    <row r="163" spans="3:6" ht="12.75" customHeight="1" x14ac:dyDescent="0.2">
      <c r="C163" s="72" t="s">
        <v>103</v>
      </c>
      <c r="D163" s="77" t="s">
        <v>106</v>
      </c>
      <c r="E163" s="184">
        <v>36</v>
      </c>
      <c r="F163" s="184">
        <v>48</v>
      </c>
    </row>
    <row r="164" spans="3:6" ht="12.75" customHeight="1" x14ac:dyDescent="0.2">
      <c r="C164" s="72" t="s">
        <v>103</v>
      </c>
      <c r="D164" s="77" t="s">
        <v>105</v>
      </c>
      <c r="E164" s="184">
        <v>36</v>
      </c>
      <c r="F164" s="184">
        <v>60</v>
      </c>
    </row>
    <row r="165" spans="3:6" ht="12.75" customHeight="1" x14ac:dyDescent="0.2">
      <c r="C165" s="72" t="s">
        <v>103</v>
      </c>
      <c r="D165" s="77" t="s">
        <v>111</v>
      </c>
      <c r="E165" s="184">
        <v>48</v>
      </c>
      <c r="F165" s="184">
        <v>60</v>
      </c>
    </row>
    <row r="166" spans="3:6" ht="12.75" customHeight="1" x14ac:dyDescent="0.2">
      <c r="C166" s="72" t="s">
        <v>103</v>
      </c>
      <c r="D166" s="77" t="s">
        <v>109</v>
      </c>
      <c r="E166" s="184">
        <v>48</v>
      </c>
      <c r="F166" s="184">
        <v>60</v>
      </c>
    </row>
    <row r="167" spans="3:6" ht="12.75" customHeight="1" x14ac:dyDescent="0.2">
      <c r="C167" s="176" t="s">
        <v>103</v>
      </c>
      <c r="D167" s="177" t="s">
        <v>319</v>
      </c>
      <c r="E167" s="184">
        <v>47</v>
      </c>
      <c r="F167" s="184">
        <v>60</v>
      </c>
    </row>
    <row r="168" spans="3:6" ht="12.75" customHeight="1" x14ac:dyDescent="0.2">
      <c r="C168" s="176" t="s">
        <v>103</v>
      </c>
      <c r="D168" s="177" t="s">
        <v>320</v>
      </c>
      <c r="E168" s="184">
        <v>47</v>
      </c>
      <c r="F168" s="184">
        <v>60</v>
      </c>
    </row>
    <row r="169" spans="3:6" ht="12.75" customHeight="1" x14ac:dyDescent="0.2">
      <c r="C169" s="72" t="s">
        <v>103</v>
      </c>
      <c r="D169" s="77" t="s">
        <v>112</v>
      </c>
      <c r="E169" s="184">
        <v>48</v>
      </c>
      <c r="F169" s="184">
        <v>60</v>
      </c>
    </row>
    <row r="170" spans="3:6" ht="12.75" customHeight="1" x14ac:dyDescent="0.2">
      <c r="C170" s="72" t="s">
        <v>103</v>
      </c>
      <c r="D170" s="77" t="s">
        <v>110</v>
      </c>
      <c r="E170" s="184">
        <v>48</v>
      </c>
      <c r="F170" s="184">
        <v>60</v>
      </c>
    </row>
    <row r="171" spans="3:6" ht="12.75" customHeight="1" x14ac:dyDescent="0.2">
      <c r="C171" s="72" t="s">
        <v>103</v>
      </c>
      <c r="D171" s="77" t="s">
        <v>116</v>
      </c>
      <c r="E171" s="184">
        <v>60</v>
      </c>
      <c r="F171" s="184">
        <v>60</v>
      </c>
    </row>
    <row r="172" spans="3:6" ht="12.75" customHeight="1" x14ac:dyDescent="0.2">
      <c r="C172" s="72" t="s">
        <v>103</v>
      </c>
      <c r="D172" s="77" t="s">
        <v>114</v>
      </c>
      <c r="E172" s="184">
        <v>60</v>
      </c>
      <c r="F172" s="184">
        <v>60</v>
      </c>
    </row>
    <row r="173" spans="3:6" ht="12.75" customHeight="1" x14ac:dyDescent="0.2">
      <c r="C173" s="176" t="s">
        <v>103</v>
      </c>
      <c r="D173" s="177" t="s">
        <v>321</v>
      </c>
      <c r="E173" s="184">
        <v>60</v>
      </c>
      <c r="F173" s="184">
        <v>60</v>
      </c>
    </row>
    <row r="174" spans="3:6" ht="12.75" customHeight="1" x14ac:dyDescent="0.2">
      <c r="C174" s="72" t="s">
        <v>103</v>
      </c>
      <c r="D174" s="77" t="s">
        <v>115</v>
      </c>
      <c r="E174" s="184">
        <v>60</v>
      </c>
      <c r="F174" s="184">
        <v>60</v>
      </c>
    </row>
    <row r="175" spans="3:6" ht="12.75" customHeight="1" x14ac:dyDescent="0.2">
      <c r="C175" s="176" t="s">
        <v>103</v>
      </c>
      <c r="D175" s="177" t="s">
        <v>115</v>
      </c>
      <c r="E175" s="184">
        <v>60</v>
      </c>
      <c r="F175" s="184">
        <v>60</v>
      </c>
    </row>
    <row r="176" spans="3:6" ht="12.75" customHeight="1" x14ac:dyDescent="0.2">
      <c r="C176" s="176" t="s">
        <v>103</v>
      </c>
      <c r="D176" s="177" t="s">
        <v>322</v>
      </c>
      <c r="E176" s="184">
        <v>48</v>
      </c>
      <c r="F176" s="184">
        <v>60</v>
      </c>
    </row>
    <row r="177" spans="3:6" ht="12.75" customHeight="1" x14ac:dyDescent="0.2">
      <c r="C177" s="176" t="s">
        <v>103</v>
      </c>
      <c r="D177" s="177" t="s">
        <v>323</v>
      </c>
      <c r="E177" s="184">
        <v>48</v>
      </c>
      <c r="F177" s="184">
        <v>60</v>
      </c>
    </row>
    <row r="178" spans="3:6" ht="12.75" customHeight="1" x14ac:dyDescent="0.2">
      <c r="C178" s="176" t="s">
        <v>103</v>
      </c>
      <c r="D178" s="177" t="s">
        <v>324</v>
      </c>
      <c r="E178" s="184">
        <v>60</v>
      </c>
      <c r="F178" s="184">
        <v>60</v>
      </c>
    </row>
    <row r="179" spans="3:6" ht="12.75" customHeight="1" x14ac:dyDescent="0.2">
      <c r="C179" s="72" t="s">
        <v>103</v>
      </c>
      <c r="D179" s="77" t="s">
        <v>108</v>
      </c>
      <c r="E179" s="184">
        <v>48</v>
      </c>
      <c r="F179" s="184">
        <v>60</v>
      </c>
    </row>
    <row r="180" spans="3:6" ht="12.75" customHeight="1" x14ac:dyDescent="0.2">
      <c r="C180" s="72" t="s">
        <v>103</v>
      </c>
      <c r="D180" s="77" t="s">
        <v>113</v>
      </c>
      <c r="E180" s="184">
        <v>60</v>
      </c>
      <c r="F180" s="184">
        <v>60</v>
      </c>
    </row>
    <row r="181" spans="3:6" ht="12.75" customHeight="1" x14ac:dyDescent="0.2">
      <c r="C181" s="72" t="s">
        <v>103</v>
      </c>
      <c r="D181" s="77" t="s">
        <v>121</v>
      </c>
      <c r="E181" s="184">
        <v>48</v>
      </c>
      <c r="F181" s="184">
        <v>72</v>
      </c>
    </row>
    <row r="182" spans="3:6" ht="12.75" customHeight="1" x14ac:dyDescent="0.2">
      <c r="C182" s="72" t="s">
        <v>103</v>
      </c>
      <c r="D182" s="77" t="s">
        <v>119</v>
      </c>
      <c r="E182" s="184">
        <v>48</v>
      </c>
      <c r="F182" s="184">
        <v>72</v>
      </c>
    </row>
    <row r="183" spans="3:6" ht="12.75" customHeight="1" x14ac:dyDescent="0.2">
      <c r="C183" s="72" t="s">
        <v>103</v>
      </c>
      <c r="D183" s="77" t="s">
        <v>118</v>
      </c>
      <c r="E183" s="184">
        <v>48</v>
      </c>
      <c r="F183" s="184">
        <v>72</v>
      </c>
    </row>
    <row r="184" spans="3:6" ht="12.75" customHeight="1" x14ac:dyDescent="0.2">
      <c r="C184" s="72" t="s">
        <v>103</v>
      </c>
      <c r="D184" s="77" t="s">
        <v>118</v>
      </c>
      <c r="E184" s="184">
        <v>48</v>
      </c>
      <c r="F184" s="184">
        <v>72</v>
      </c>
    </row>
    <row r="185" spans="3:6" ht="12.75" customHeight="1" x14ac:dyDescent="0.2">
      <c r="C185" s="72" t="s">
        <v>103</v>
      </c>
      <c r="D185" s="77" t="s">
        <v>293</v>
      </c>
      <c r="E185" s="184">
        <v>48</v>
      </c>
      <c r="F185" s="184">
        <v>72</v>
      </c>
    </row>
    <row r="186" spans="3:6" x14ac:dyDescent="0.2">
      <c r="C186" s="72" t="s">
        <v>103</v>
      </c>
      <c r="D186" s="77" t="s">
        <v>120</v>
      </c>
      <c r="E186" s="184">
        <v>48</v>
      </c>
      <c r="F186" s="184">
        <v>72</v>
      </c>
    </row>
    <row r="187" spans="3:6" x14ac:dyDescent="0.2">
      <c r="C187" s="176" t="s">
        <v>103</v>
      </c>
      <c r="D187" s="177" t="s">
        <v>325</v>
      </c>
      <c r="E187" s="184">
        <v>48</v>
      </c>
      <c r="F187" s="184">
        <v>72</v>
      </c>
    </row>
    <row r="188" spans="3:6" x14ac:dyDescent="0.2">
      <c r="C188" s="72" t="s">
        <v>103</v>
      </c>
      <c r="D188" s="77" t="s">
        <v>117</v>
      </c>
      <c r="E188" s="184">
        <v>48</v>
      </c>
      <c r="F188" s="184">
        <v>72</v>
      </c>
    </row>
    <row r="189" spans="3:6" x14ac:dyDescent="0.2">
      <c r="C189" s="72" t="s">
        <v>103</v>
      </c>
      <c r="D189" s="77" t="s">
        <v>127</v>
      </c>
      <c r="E189" s="184">
        <v>60</v>
      </c>
      <c r="F189" s="184">
        <v>72</v>
      </c>
    </row>
    <row r="190" spans="3:6" x14ac:dyDescent="0.2">
      <c r="C190" s="72" t="s">
        <v>103</v>
      </c>
      <c r="D190" s="77" t="s">
        <v>126</v>
      </c>
      <c r="E190" s="184">
        <v>60</v>
      </c>
      <c r="F190" s="184">
        <v>72</v>
      </c>
    </row>
    <row r="191" spans="3:6" x14ac:dyDescent="0.2">
      <c r="C191" s="72" t="s">
        <v>103</v>
      </c>
      <c r="D191" s="77" t="s">
        <v>124</v>
      </c>
      <c r="E191" s="184">
        <v>60</v>
      </c>
      <c r="F191" s="184">
        <v>72</v>
      </c>
    </row>
    <row r="192" spans="3:6" x14ac:dyDescent="0.2">
      <c r="C192" s="72" t="s">
        <v>103</v>
      </c>
      <c r="D192" s="77" t="s">
        <v>123</v>
      </c>
      <c r="E192" s="184">
        <v>60</v>
      </c>
      <c r="F192" s="184">
        <v>72</v>
      </c>
    </row>
    <row r="193" spans="3:6" x14ac:dyDescent="0.2">
      <c r="C193" s="72" t="s">
        <v>103</v>
      </c>
      <c r="D193" s="77" t="s">
        <v>300</v>
      </c>
      <c r="E193" s="184">
        <v>60</v>
      </c>
      <c r="F193" s="184">
        <v>72</v>
      </c>
    </row>
    <row r="194" spans="3:6" x14ac:dyDescent="0.2">
      <c r="C194" s="72" t="s">
        <v>103</v>
      </c>
      <c r="D194" s="77" t="s">
        <v>125</v>
      </c>
      <c r="E194" s="184">
        <v>60</v>
      </c>
      <c r="F194" s="184">
        <v>72</v>
      </c>
    </row>
    <row r="195" spans="3:6" x14ac:dyDescent="0.2">
      <c r="C195" s="176" t="s">
        <v>103</v>
      </c>
      <c r="D195" s="177" t="s">
        <v>326</v>
      </c>
      <c r="E195" s="184">
        <v>60</v>
      </c>
      <c r="F195" s="184">
        <v>72</v>
      </c>
    </row>
    <row r="196" spans="3:6" x14ac:dyDescent="0.2">
      <c r="C196" s="72" t="s">
        <v>103</v>
      </c>
      <c r="D196" s="77" t="s">
        <v>122</v>
      </c>
      <c r="E196" s="184">
        <v>60</v>
      </c>
      <c r="F196" s="184">
        <v>72</v>
      </c>
    </row>
    <row r="197" spans="3:6" ht="13.5" thickBot="1" x14ac:dyDescent="0.25">
      <c r="C197" s="188" t="s">
        <v>103</v>
      </c>
      <c r="D197" s="189" t="s">
        <v>104</v>
      </c>
      <c r="E197" s="190">
        <v>48</v>
      </c>
      <c r="F197" s="190">
        <v>60</v>
      </c>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vt:lpstr>
      <vt:lpstr>User input</vt:lpstr>
      <vt:lpstr>Time and Tax (TT)</vt:lpstr>
      <vt:lpstr>Analysis summary</vt:lpstr>
      <vt:lpstr>Baler Models</vt:lpstr>
      <vt:lpstr>Introduction!Print_Area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OwnBaler</dc:title>
  <dc:creator>Terry Kastens and Kevin Dhuyvetter</dc:creator>
  <dc:description>Password is INT &amp; BD (7 characters no caps)</dc:description>
  <cp:lastModifiedBy>robinreid</cp:lastModifiedBy>
  <cp:lastPrinted>2016-06-29T16:05:54Z</cp:lastPrinted>
  <dcterms:created xsi:type="dcterms:W3CDTF">2002-10-14T14:24:09Z</dcterms:created>
  <dcterms:modified xsi:type="dcterms:W3CDTF">2016-06-29T16:13:48Z</dcterms:modified>
</cp:coreProperties>
</file>