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robinreid\Dropbox\Livestock Farm Management Guides\June 2016 Updates\"/>
    </mc:Choice>
  </mc:AlternateContent>
  <bookViews>
    <workbookView xWindow="0" yWindow="0" windowWidth="23040" windowHeight="9120"/>
  </bookViews>
  <sheets>
    <sheet name="Introduction" sheetId="8" r:id="rId1"/>
    <sheet name="Prices" sheetId="2" r:id="rId2"/>
    <sheet name="Feed" sheetId="4" r:id="rId3"/>
    <sheet name="Lease with Raised Repl" sheetId="3" r:id="rId4"/>
    <sheet name="Lease with Purchased Repl" sheetId="9" r:id="rId5"/>
  </sheets>
  <externalReferences>
    <externalReference r:id="rId6"/>
  </externalReferences>
  <definedNames>
    <definedName name="data">[1]kcd!$B$10:$AZ$1374</definedName>
    <definedName name="price_selections">Prices!$A$1:$A$2</definedName>
    <definedName name="_xlnm.Print_Area" localSheetId="2">Feed!$B$1:$G$30</definedName>
    <definedName name="_xlnm.Print_Area" localSheetId="0">Introduction!$A$1:$M$61</definedName>
    <definedName name="_xlnm.Print_Area" localSheetId="4">'Lease with Purchased Repl'!$A$1:$J$134</definedName>
    <definedName name="_xlnm.Print_Area" localSheetId="3">'Lease with Raised Repl'!$A$1:$J$133</definedName>
    <definedName name="_xlnm.Print_Area" localSheetId="1">Prices!$A$3:$D$19</definedName>
    <definedName name="Z_7F8F69BA_F1D1_4483_B535_1A9BCCCC12B7_.wvu.PrintArea" localSheetId="0" hidden="1">Introduction!$B$2:$L$47</definedName>
    <definedName name="Z_7F8F69BA_F1D1_4483_B535_1A9BCCCC12B7_.wvu.Rows" localSheetId="0" hidden="1">Introduction!#REF!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1" i="3" l="1"/>
  <c r="C222" i="3"/>
  <c r="C221" i="3"/>
  <c r="B222" i="3"/>
  <c r="B223" i="3"/>
  <c r="B224" i="3"/>
  <c r="B225" i="3"/>
  <c r="B221" i="3"/>
  <c r="L38" i="3"/>
  <c r="M33" i="3"/>
  <c r="A236" i="3" l="1"/>
  <c r="C225" i="3"/>
  <c r="C189" i="3"/>
  <c r="C224" i="3"/>
  <c r="D224" i="3" s="1"/>
  <c r="C223" i="3"/>
  <c r="D223" i="3" s="1"/>
  <c r="D222" i="3"/>
  <c r="C219" i="3"/>
  <c r="D219" i="3" s="1"/>
  <c r="C215" i="3"/>
  <c r="D215" i="3" s="1"/>
  <c r="B215" i="3"/>
  <c r="C214" i="3"/>
  <c r="D214" i="3" s="1"/>
  <c r="B214" i="3"/>
  <c r="C213" i="3"/>
  <c r="D213" i="3" s="1"/>
  <c r="B213" i="3"/>
  <c r="C212" i="3"/>
  <c r="D212" i="3" s="1"/>
  <c r="B212" i="3"/>
  <c r="C211" i="3"/>
  <c r="D211" i="3" s="1"/>
  <c r="C210" i="3"/>
  <c r="D210" i="3" s="1"/>
  <c r="C209" i="3"/>
  <c r="D209" i="3" s="1"/>
  <c r="B209" i="3"/>
  <c r="C208" i="3"/>
  <c r="D208" i="3" s="1"/>
  <c r="C207" i="3"/>
  <c r="D207" i="3" s="1"/>
  <c r="C206" i="3"/>
  <c r="D206" i="3" s="1"/>
  <c r="C205" i="3"/>
  <c r="D205" i="3" s="1"/>
  <c r="C204" i="3"/>
  <c r="D204" i="3" s="1"/>
  <c r="C203" i="3"/>
  <c r="D203" i="3" s="1"/>
  <c r="C202" i="3"/>
  <c r="D202" i="3" s="1"/>
  <c r="C198" i="3"/>
  <c r="D198" i="3" s="1"/>
  <c r="B198" i="3"/>
  <c r="C197" i="3"/>
  <c r="D197" i="3" s="1"/>
  <c r="C196" i="3"/>
  <c r="B193" i="3"/>
  <c r="B192" i="3"/>
  <c r="L32" i="3" l="1"/>
  <c r="J32" i="3"/>
  <c r="B220" i="3" s="1"/>
  <c r="A94" i="9"/>
  <c r="A134" i="9" s="1"/>
  <c r="A236" i="9" s="1"/>
  <c r="C201" i="9"/>
  <c r="D201" i="9" s="1"/>
  <c r="C202" i="9"/>
  <c r="D202" i="9" s="1"/>
  <c r="C203" i="9"/>
  <c r="D203" i="9" s="1"/>
  <c r="C204" i="9"/>
  <c r="D204" i="9" s="1"/>
  <c r="C205" i="9"/>
  <c r="D205" i="9" s="1"/>
  <c r="C206" i="9"/>
  <c r="D206" i="9" s="1"/>
  <c r="C207" i="9"/>
  <c r="D207" i="9" s="1"/>
  <c r="C208" i="9"/>
  <c r="D208" i="9" s="1"/>
  <c r="C209" i="9"/>
  <c r="D209" i="9" s="1"/>
  <c r="C210" i="9"/>
  <c r="D210" i="9" s="1"/>
  <c r="C211" i="9"/>
  <c r="C212" i="9"/>
  <c r="D212" i="9" s="1"/>
  <c r="C213" i="9"/>
  <c r="D213" i="9" s="1"/>
  <c r="C214" i="9"/>
  <c r="D214" i="9" s="1"/>
  <c r="C218" i="9"/>
  <c r="D218" i="9" s="1"/>
  <c r="C221" i="9"/>
  <c r="D221" i="9" s="1"/>
  <c r="C222" i="9"/>
  <c r="D222" i="9" s="1"/>
  <c r="C223" i="9"/>
  <c r="D223" i="9" s="1"/>
  <c r="C224" i="9"/>
  <c r="D224" i="9" s="1"/>
  <c r="C196" i="9"/>
  <c r="D196" i="9" s="1"/>
  <c r="C197" i="9"/>
  <c r="D197" i="9" s="1"/>
  <c r="C195" i="9"/>
  <c r="B197" i="9"/>
  <c r="B221" i="9"/>
  <c r="B222" i="9"/>
  <c r="B224" i="9"/>
  <c r="B192" i="9"/>
  <c r="B191" i="9"/>
  <c r="C188" i="9"/>
  <c r="D211" i="9"/>
  <c r="L33" i="9"/>
  <c r="M33" i="9" s="1"/>
  <c r="L32" i="9"/>
  <c r="M32" i="9" s="1"/>
  <c r="J32" i="9"/>
  <c r="B219" i="9" s="1"/>
  <c r="M10" i="3"/>
  <c r="M10" i="9"/>
  <c r="M32" i="3" l="1"/>
  <c r="C220" i="3"/>
  <c r="D220" i="3" s="1"/>
  <c r="C219" i="9"/>
  <c r="D219" i="9" s="1"/>
  <c r="C220" i="9"/>
  <c r="D220" i="9" s="1"/>
  <c r="A96" i="9" l="1"/>
  <c r="A49" i="9"/>
  <c r="A93" i="3" l="1"/>
  <c r="A134" i="3" s="1"/>
  <c r="A95" i="3"/>
  <c r="A48" i="3"/>
  <c r="B106" i="9" l="1"/>
  <c r="B107" i="9"/>
  <c r="B108" i="9"/>
  <c r="B109" i="9"/>
  <c r="B110" i="9"/>
  <c r="B111" i="9"/>
  <c r="B112" i="9"/>
  <c r="B113" i="9"/>
  <c r="B114" i="9"/>
  <c r="B115" i="9"/>
  <c r="B105" i="9"/>
  <c r="J36" i="9" l="1"/>
  <c r="B223" i="9" s="1"/>
  <c r="J31" i="9"/>
  <c r="B218" i="9" s="1"/>
  <c r="J27" i="9"/>
  <c r="B214" i="9" s="1"/>
  <c r="J26" i="9"/>
  <c r="B213" i="9" s="1"/>
  <c r="J25" i="9"/>
  <c r="B212" i="9" s="1"/>
  <c r="J24" i="9"/>
  <c r="B211" i="9" s="1"/>
  <c r="J20" i="9"/>
  <c r="B207" i="9" s="1"/>
  <c r="E18" i="9"/>
  <c r="E17" i="9"/>
  <c r="E16" i="9"/>
  <c r="E15" i="9"/>
  <c r="E14" i="9"/>
  <c r="I47" i="9"/>
  <c r="I94" i="9" s="1"/>
  <c r="I134" i="9" s="1"/>
  <c r="I236" i="9" s="1"/>
  <c r="M37" i="9"/>
  <c r="M36" i="9"/>
  <c r="M35" i="9"/>
  <c r="M34" i="9"/>
  <c r="M31" i="9"/>
  <c r="M27" i="9"/>
  <c r="M26" i="9"/>
  <c r="M25" i="9"/>
  <c r="M24" i="9"/>
  <c r="M23" i="9"/>
  <c r="M22" i="9"/>
  <c r="E22" i="9"/>
  <c r="J22" i="9" s="1"/>
  <c r="B209" i="9" s="1"/>
  <c r="M21" i="9"/>
  <c r="M20" i="9"/>
  <c r="M19" i="9"/>
  <c r="J19" i="9"/>
  <c r="B206" i="9" s="1"/>
  <c r="M18" i="9"/>
  <c r="M17" i="9"/>
  <c r="M16" i="9"/>
  <c r="M15" i="9"/>
  <c r="M14" i="9"/>
  <c r="M9" i="9"/>
  <c r="H9" i="9"/>
  <c r="H8" i="9"/>
  <c r="M36" i="3"/>
  <c r="J31" i="3"/>
  <c r="B219" i="3" s="1"/>
  <c r="M27" i="3"/>
  <c r="M37" i="3"/>
  <c r="M35" i="3"/>
  <c r="M34" i="3"/>
  <c r="M38" i="3" s="1"/>
  <c r="M31" i="3"/>
  <c r="M26" i="3"/>
  <c r="M25" i="3"/>
  <c r="M24" i="3"/>
  <c r="M23" i="3"/>
  <c r="M22" i="3"/>
  <c r="M21" i="3"/>
  <c r="M20" i="3"/>
  <c r="M19" i="3"/>
  <c r="M18" i="3"/>
  <c r="M17" i="3"/>
  <c r="M16" i="3"/>
  <c r="M15" i="3"/>
  <c r="M14" i="3"/>
  <c r="M9" i="3"/>
  <c r="D226" i="3" l="1"/>
  <c r="J38" i="3"/>
  <c r="B226" i="3" s="1"/>
  <c r="C30" i="4"/>
  <c r="C27" i="4"/>
  <c r="C26" i="4"/>
  <c r="C22" i="4"/>
  <c r="C21" i="4"/>
  <c r="C20" i="4"/>
  <c r="C15" i="4"/>
  <c r="C12" i="4"/>
  <c r="C11" i="4"/>
  <c r="C7" i="4"/>
  <c r="C6" i="4"/>
  <c r="P28" i="4"/>
  <c r="O28" i="4"/>
  <c r="M28" i="4"/>
  <c r="K28" i="4"/>
  <c r="L28" i="4"/>
  <c r="K29" i="4"/>
  <c r="P19" i="4"/>
  <c r="O19" i="4"/>
  <c r="N19" i="4"/>
  <c r="M19" i="4"/>
  <c r="L19" i="4"/>
  <c r="K19" i="4"/>
  <c r="K20" i="4" s="1"/>
  <c r="P10" i="4"/>
  <c r="O10" i="4"/>
  <c r="C5" i="4" s="1"/>
  <c r="N10" i="4"/>
  <c r="M10" i="4"/>
  <c r="L10" i="4"/>
  <c r="K10" i="4"/>
  <c r="K11" i="4" s="1"/>
  <c r="J28" i="4"/>
  <c r="N25" i="4"/>
  <c r="J19" i="4"/>
  <c r="J10" i="4"/>
  <c r="D225" i="3" l="1"/>
  <c r="C226" i="3"/>
  <c r="N28" i="4"/>
  <c r="N26" i="4"/>
  <c r="I46" i="3" l="1"/>
  <c r="C123" i="9"/>
  <c r="C122" i="9"/>
  <c r="C121" i="9"/>
  <c r="C120" i="9"/>
  <c r="B120" i="9"/>
  <c r="A123" i="9"/>
  <c r="A122" i="9"/>
  <c r="A121" i="9"/>
  <c r="A120" i="9"/>
  <c r="B127" i="3" l="1"/>
  <c r="B9" i="9"/>
  <c r="B127" i="9"/>
  <c r="A124" i="3"/>
  <c r="A124" i="9"/>
  <c r="B121" i="3"/>
  <c r="B16" i="9"/>
  <c r="J16" i="9" s="1"/>
  <c r="B203" i="9" s="1"/>
  <c r="B121" i="9"/>
  <c r="B124" i="3"/>
  <c r="B18" i="9"/>
  <c r="J18" i="9" s="1"/>
  <c r="B205" i="9" s="1"/>
  <c r="B124" i="9"/>
  <c r="C127" i="3"/>
  <c r="C127" i="9"/>
  <c r="C124" i="3"/>
  <c r="C124" i="9"/>
  <c r="B122" i="9"/>
  <c r="B14" i="9"/>
  <c r="J14" i="9" s="1"/>
  <c r="B15" i="9"/>
  <c r="J15" i="9" s="1"/>
  <c r="B202" i="9" s="1"/>
  <c r="B123" i="9"/>
  <c r="A121" i="3"/>
  <c r="B120" i="3"/>
  <c r="C121" i="3"/>
  <c r="A120" i="3"/>
  <c r="A122" i="3"/>
  <c r="B123" i="3"/>
  <c r="C120" i="3"/>
  <c r="B122" i="3"/>
  <c r="A123" i="3"/>
  <c r="C123" i="3"/>
  <c r="C122" i="3"/>
  <c r="B14" i="3"/>
  <c r="B201" i="9" l="1"/>
  <c r="J9" i="9"/>
  <c r="B196" i="9" s="1"/>
  <c r="C119" i="9"/>
  <c r="A119" i="9"/>
  <c r="B220" i="9" l="1"/>
  <c r="M38" i="9"/>
  <c r="D225" i="9" s="1"/>
  <c r="J38" i="9"/>
  <c r="B225" i="9" s="1"/>
  <c r="L38" i="9"/>
  <c r="C225" i="9" s="1"/>
  <c r="B119" i="9"/>
  <c r="B17" i="9"/>
  <c r="J17" i="9" s="1"/>
  <c r="B119" i="3"/>
  <c r="A119" i="3"/>
  <c r="C119" i="3"/>
  <c r="A129" i="9"/>
  <c r="C126" i="9"/>
  <c r="B8" i="3"/>
  <c r="A126" i="9"/>
  <c r="B22" i="3"/>
  <c r="B204" i="9" l="1"/>
  <c r="A125" i="3"/>
  <c r="A125" i="9"/>
  <c r="B126" i="9"/>
  <c r="B8" i="9"/>
  <c r="J8" i="9" s="1"/>
  <c r="A130" i="3"/>
  <c r="A130" i="9"/>
  <c r="A127" i="3"/>
  <c r="A127" i="9"/>
  <c r="B125" i="3"/>
  <c r="B125" i="9"/>
  <c r="C125" i="3"/>
  <c r="C125" i="9"/>
  <c r="A126" i="3"/>
  <c r="B126" i="3"/>
  <c r="A129" i="3"/>
  <c r="C126" i="3"/>
  <c r="J11" i="9" l="1"/>
  <c r="B195" i="9"/>
  <c r="B9" i="3"/>
  <c r="B18" i="3"/>
  <c r="B198" i="9" l="1"/>
  <c r="B15" i="3"/>
  <c r="J19" i="3" l="1"/>
  <c r="B207" i="3" s="1"/>
  <c r="B104" i="3" l="1"/>
  <c r="J23" i="3" l="1"/>
  <c r="B211" i="3" s="1"/>
  <c r="J23" i="9" l="1"/>
  <c r="B210" i="9" s="1"/>
  <c r="J21" i="9"/>
  <c r="B105" i="3"/>
  <c r="B106" i="3"/>
  <c r="B107" i="3"/>
  <c r="B108" i="3"/>
  <c r="B110" i="3"/>
  <c r="B111" i="3"/>
  <c r="B112" i="3"/>
  <c r="B114" i="3"/>
  <c r="B208" i="9" l="1"/>
  <c r="L28" i="9"/>
  <c r="L40" i="9" s="1"/>
  <c r="J28" i="9"/>
  <c r="B215" i="9" s="1"/>
  <c r="M28" i="9"/>
  <c r="M40" i="9" s="1"/>
  <c r="C25" i="4"/>
  <c r="C10" i="4"/>
  <c r="B16" i="3" s="1"/>
  <c r="J40" i="9" l="1"/>
  <c r="J43" i="9" s="1"/>
  <c r="J42" i="9"/>
  <c r="B229" i="9" s="1"/>
  <c r="C215" i="9"/>
  <c r="D227" i="9"/>
  <c r="D215" i="9"/>
  <c r="B109" i="3"/>
  <c r="M41" i="9" l="1"/>
  <c r="D228" i="9" s="1"/>
  <c r="B230" i="9"/>
  <c r="B227" i="9"/>
  <c r="L41" i="9"/>
  <c r="C228" i="9" s="1"/>
  <c r="C227" i="9"/>
  <c r="C29" i="4"/>
  <c r="J20" i="3"/>
  <c r="B208" i="3" s="1"/>
  <c r="C14" i="4"/>
  <c r="B17" i="3" s="1"/>
  <c r="L42" i="9" l="1"/>
  <c r="M42" i="9"/>
  <c r="E17" i="3"/>
  <c r="B113" i="3"/>
  <c r="M43" i="9" l="1"/>
  <c r="D230" i="9" s="1"/>
  <c r="D229" i="9"/>
  <c r="L43" i="9"/>
  <c r="C230" i="9" s="1"/>
  <c r="C229" i="9"/>
  <c r="I93" i="3"/>
  <c r="I134" i="3" s="1"/>
  <c r="I236" i="3" s="1"/>
  <c r="E18" i="3" l="1"/>
  <c r="E15" i="3"/>
  <c r="E16" i="3"/>
  <c r="E14" i="3"/>
  <c r="J17" i="3" l="1"/>
  <c r="B205" i="3" s="1"/>
  <c r="C3" i="2"/>
  <c r="B3" i="2"/>
  <c r="G1" i="9" s="1"/>
  <c r="G188" i="9" s="1"/>
  <c r="G1" i="3" l="1"/>
  <c r="G189" i="3" s="1"/>
  <c r="J15" i="3"/>
  <c r="B203" i="3" s="1"/>
  <c r="J14" i="3" l="1"/>
  <c r="B202" i="3" s="1"/>
  <c r="E22" i="3"/>
  <c r="J18" i="3" l="1"/>
  <c r="B206" i="3" s="1"/>
  <c r="H9" i="3" l="1"/>
  <c r="J9" i="3" s="1"/>
  <c r="B197" i="3" s="1"/>
  <c r="H8" i="3"/>
  <c r="J8" i="3" s="1"/>
  <c r="B196" i="3" s="1"/>
  <c r="J16" i="3" l="1"/>
  <c r="B204" i="3" s="1"/>
  <c r="J11" i="3" l="1"/>
  <c r="B199" i="3" s="1"/>
  <c r="J22" i="3"/>
  <c r="J28" i="3" l="1"/>
  <c r="B210" i="3"/>
  <c r="M28" i="3"/>
  <c r="L28" i="3"/>
  <c r="C216" i="3" s="1"/>
  <c r="J42" i="3" l="1"/>
  <c r="B230" i="3" s="1"/>
  <c r="B216" i="3"/>
  <c r="M40" i="3"/>
  <c r="D216" i="3"/>
  <c r="L40" i="3"/>
  <c r="J40" i="3"/>
  <c r="J43" i="3" l="1"/>
  <c r="B231" i="3" s="1"/>
  <c r="B228" i="3"/>
  <c r="M41" i="3"/>
  <c r="D229" i="3" s="1"/>
  <c r="D228" i="3"/>
  <c r="L41" i="3"/>
  <c r="C229" i="3" s="1"/>
  <c r="C228" i="3"/>
  <c r="M42" i="3" l="1"/>
  <c r="D230" i="3" s="1"/>
  <c r="L42" i="3"/>
  <c r="C230" i="3" s="1"/>
  <c r="L43" i="3" l="1"/>
  <c r="C231" i="3" s="1"/>
  <c r="M43" i="3"/>
  <c r="D231" i="3" s="1"/>
</calcChain>
</file>

<file path=xl/comments1.xml><?xml version="1.0" encoding="utf-8"?>
<comments xmlns="http://schemas.openxmlformats.org/spreadsheetml/2006/main">
  <authors>
    <author>Glynn Tonsor</author>
  </authors>
  <commentList>
    <comment ref="D7" authorId="0" shapeId="0">
      <text>
        <r>
          <rPr>
            <b/>
            <sz val="9"/>
            <color indexed="81"/>
            <rFont val="Tahoma"/>
            <family val="2"/>
          </rPr>
          <t>Glynn Tonsor:</t>
        </r>
        <r>
          <rPr>
            <sz val="9"/>
            <color indexed="81"/>
            <rFont val="Tahoma"/>
            <family val="2"/>
          </rPr>
          <t xml:space="preserve">
Used WKDDGPrices &amp; FEEDPR.xls from LMIC to derive DDGS P relationship to Corn price (2010-2014 data used).  </t>
        </r>
      </text>
    </comment>
    <comment ref="D10"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Reduce by 50% as Brome/Cain value is roughly 50% of Alfalfa given Mar 2014 KS AMS prices.</t>
        </r>
      </text>
    </comment>
    <comment ref="D11" authorId="0" shapeId="0">
      <text>
        <r>
          <rPr>
            <b/>
            <sz val="9"/>
            <color indexed="81"/>
            <rFont val="Tahoma"/>
            <family val="2"/>
          </rPr>
          <t>Glynn Tonsor:</t>
        </r>
        <r>
          <rPr>
            <sz val="9"/>
            <color indexed="81"/>
            <rFont val="Tahoma"/>
            <family val="2"/>
          </rPr>
          <t xml:space="preserve">
Used FEEDPR.xls from LMIC to derive Alfalfa Price relationship to Corn price (2010-2014 data used).  </t>
        </r>
      </text>
    </comment>
  </commentList>
</comments>
</file>

<file path=xl/sharedStrings.xml><?xml version="1.0" encoding="utf-8"?>
<sst xmlns="http://schemas.openxmlformats.org/spreadsheetml/2006/main" count="513" uniqueCount="162">
  <si>
    <t>Revenue</t>
  </si>
  <si>
    <t>Production Efficiency Information</t>
  </si>
  <si>
    <t>Price</t>
  </si>
  <si>
    <t>Unit</t>
  </si>
  <si>
    <t>lbs</t>
  </si>
  <si>
    <t xml:space="preserve"> x</t>
  </si>
  <si>
    <t xml:space="preserve"> =</t>
  </si>
  <si>
    <t xml:space="preserve">  Gross Income</t>
  </si>
  <si>
    <t>Variable Costs</t>
  </si>
  <si>
    <t>Fixed Costs</t>
  </si>
  <si>
    <t xml:space="preserve">  Total Fixed Costs</t>
  </si>
  <si>
    <t>Total Costs</t>
  </si>
  <si>
    <t xml:space="preserve">  Total Variable Costs</t>
  </si>
  <si>
    <t xml:space="preserve">Income Over Total Costs </t>
  </si>
  <si>
    <t>http://www.usda.gov/oce/commodity/projections/</t>
  </si>
  <si>
    <t>Fed cattle change imposed</t>
  </si>
  <si>
    <t>hd</t>
  </si>
  <si>
    <t>Qty</t>
  </si>
  <si>
    <t>Weaning Percentage</t>
  </si>
  <si>
    <t>Cull Cows</t>
  </si>
  <si>
    <t>Cow Replacement Percentage</t>
  </si>
  <si>
    <t>Pasture</t>
  </si>
  <si>
    <t>Harvested Forage</t>
  </si>
  <si>
    <t>Crop Residue</t>
  </si>
  <si>
    <t>per acre</t>
  </si>
  <si>
    <t>per ton</t>
  </si>
  <si>
    <t>Mineral</t>
  </si>
  <si>
    <t>Grain/Protein Supplements</t>
  </si>
  <si>
    <t>Labor</t>
  </si>
  <si>
    <t>Vet Medicine/Drugs</t>
  </si>
  <si>
    <t>Utilities,Gas, Fuel, Oil</t>
  </si>
  <si>
    <t>Other variable costs</t>
  </si>
  <si>
    <t>Income Over Variable Costs</t>
  </si>
  <si>
    <t>per head</t>
  </si>
  <si>
    <t>Current price *1.10</t>
  </si>
  <si>
    <t>Replacement Females</t>
  </si>
  <si>
    <t>Adjust off of Steer Calf price</t>
  </si>
  <si>
    <t>Five Years Out Prices</t>
  </si>
  <si>
    <t>Adjust off of Corn Price</t>
  </si>
  <si>
    <t>Salt and Mineral</t>
  </si>
  <si>
    <t>per cwt</t>
  </si>
  <si>
    <r>
      <t xml:space="preserve">Kansas State University, Department of Agricultural Economics - </t>
    </r>
    <r>
      <rPr>
        <b/>
        <i/>
        <sz val="12"/>
        <color rgb="FF7030A0"/>
        <rFont val="Calibri"/>
        <family val="2"/>
        <scheme val="minor"/>
      </rPr>
      <t>www.agmanager.info</t>
    </r>
  </si>
  <si>
    <t>x</t>
  </si>
  <si>
    <t>=</t>
  </si>
  <si>
    <t>Alfalfa</t>
  </si>
  <si>
    <t>Corn</t>
  </si>
  <si>
    <t>DDG's</t>
  </si>
  <si>
    <t>Soybean Meal</t>
  </si>
  <si>
    <t xml:space="preserve">Cow-Calf Feed Requirements </t>
  </si>
  <si>
    <t>(per cow unit + 16% of developing heifer + 4% of bull)</t>
  </si>
  <si>
    <t>per hour</t>
  </si>
  <si>
    <t>Machinery, Facility/Equip. Repairs</t>
  </si>
  <si>
    <t>Farm/Livestock Insurance</t>
  </si>
  <si>
    <t>Taxes</t>
  </si>
  <si>
    <t>total acres</t>
  </si>
  <si>
    <t>total tons</t>
  </si>
  <si>
    <t>total lbs</t>
  </si>
  <si>
    <t>Other fixed costs</t>
  </si>
  <si>
    <t>Weaned Calf Sale</t>
  </si>
  <si>
    <t>Total per Year per Cow</t>
  </si>
  <si>
    <t>Total Grain/Protein Supplements</t>
  </si>
  <si>
    <t>Total Harvested Forage</t>
  </si>
  <si>
    <t>Silage</t>
  </si>
  <si>
    <t>Crop Residue Grazing</t>
  </si>
  <si>
    <t>total acres per year</t>
  </si>
  <si>
    <t>total tons per year</t>
  </si>
  <si>
    <t>total lbs per year</t>
  </si>
  <si>
    <t>CATTLE RATIONS TO SET FEED AND GRAZING COSTS</t>
  </si>
  <si>
    <t>total hours</t>
  </si>
  <si>
    <t>Budget Assumptions</t>
  </si>
  <si>
    <t>Five Years Out</t>
  </si>
  <si>
    <t>Annual Bull Charge or A.I.</t>
  </si>
  <si>
    <t>Other Livestock Breeding/Marketing</t>
  </si>
  <si>
    <t>Equal to 8X the corn price</t>
  </si>
  <si>
    <t>Prairie/Brome Hay</t>
  </si>
  <si>
    <t>Default Cow-Calf Prices</t>
  </si>
  <si>
    <t>Other Income</t>
  </si>
  <si>
    <t>Other Feed</t>
  </si>
  <si>
    <t>per unit</t>
  </si>
  <si>
    <t>units</t>
  </si>
  <si>
    <t>2016 Production Year</t>
  </si>
  <si>
    <t>Version- 6.1.2016</t>
  </si>
  <si>
    <t>INTRODUCTION</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</si>
  <si>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</si>
  <si>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70C0"/>
        <rFont val="Calibri"/>
        <family val="2"/>
        <scheme val="minor"/>
      </rPr>
      <t>Blue</t>
    </r>
    <r>
      <rPr>
        <sz val="12"/>
        <rFont val="Calibri"/>
        <family val="2"/>
        <scheme val="minor"/>
      </rPr>
      <t xml:space="preserve"> values are inputs that should be changed from the defaults to match your operation.  Black values are automatically calculated.</t>
    </r>
  </si>
  <si>
    <t>FOR MORE INFORMATION:</t>
  </si>
  <si>
    <t>Developed by:</t>
  </si>
  <si>
    <t>Robin Reid</t>
  </si>
  <si>
    <t>Glynn T. Tonsor, Ph.D.</t>
  </si>
  <si>
    <t>Extension Associate</t>
  </si>
  <si>
    <t>Agricultural Economist</t>
  </si>
  <si>
    <t>Department of Agricultural Economics</t>
  </si>
  <si>
    <t>Kansas State University</t>
  </si>
  <si>
    <t>robinreid@ksu.edu</t>
  </si>
  <si>
    <t>gtonsor@k-state.edu</t>
  </si>
  <si>
    <t>785-532-0964</t>
  </si>
  <si>
    <t>785-532-1518</t>
  </si>
  <si>
    <t>ACKNOWLEDGEMENTS:</t>
  </si>
  <si>
    <r>
      <t xml:space="preserve">The developers would like to thank the K-State Beef Team for their contributions: Dr. Sandy Johnson, Dr. Dale Blasi, Dr. Joel DeRouchey, Dr. Jaymelynn Farney, Dr. Christopher Reinhardt, Dr. Justin Waggoner, and Dr. Bob Weaber  </t>
    </r>
    <r>
      <rPr>
        <b/>
        <i/>
        <sz val="12"/>
        <rFont val="Calibri"/>
        <family val="2"/>
        <scheme val="minor"/>
      </rPr>
      <t>www.KSUBeef.org</t>
    </r>
    <r>
      <rPr>
        <sz val="12"/>
        <rFont val="Calibri"/>
        <family val="2"/>
        <scheme val="minor"/>
      </rPr>
      <t xml:space="preserve">
</t>
    </r>
  </si>
  <si>
    <t>Copyright 2016 AgManager.info, K-State Department of Agricultural Economics</t>
  </si>
  <si>
    <t>Cow Ration</t>
  </si>
  <si>
    <t>Date Range</t>
  </si>
  <si>
    <t>Days</t>
  </si>
  <si>
    <t>Hay (pounds)</t>
  </si>
  <si>
    <t>Supplement (DDGS) (pounds)</t>
  </si>
  <si>
    <t>Grain (pounds)</t>
  </si>
  <si>
    <t>Mineral (pounds)</t>
  </si>
  <si>
    <t>Pasture (acres)</t>
  </si>
  <si>
    <t>Corn Stalks (acres)</t>
  </si>
  <si>
    <t>1/1-3/1</t>
  </si>
  <si>
    <t>3/1-5/1</t>
  </si>
  <si>
    <t>5/1-10/31</t>
  </si>
  <si>
    <t>11/1-12/31</t>
  </si>
  <si>
    <t xml:space="preserve">Total </t>
  </si>
  <si>
    <t>Tons</t>
  </si>
  <si>
    <t>Bull Ration</t>
  </si>
  <si>
    <t>1/1-4/30</t>
  </si>
  <si>
    <t>Heifer Ration</t>
  </si>
  <si>
    <t>5/1-10/15</t>
  </si>
  <si>
    <t>10/15-12/31</t>
  </si>
  <si>
    <t xml:space="preserve"> Feed Requirements with Raised Replacements</t>
  </si>
  <si>
    <t>Split</t>
  </si>
  <si>
    <t>Anticipated Income per cow</t>
  </si>
  <si>
    <t>Cattle Ownership Interest</t>
  </si>
  <si>
    <t>avg. value</t>
  </si>
  <si>
    <t>interest rate</t>
  </si>
  <si>
    <t>Equipment/Building Depreciation</t>
  </si>
  <si>
    <t>KSU-Beef Cow Lease</t>
  </si>
  <si>
    <t>Excel spreadsheet for estabishing a calf-income split or cash rental rate for leasing a beef cow herd</t>
  </si>
  <si>
    <t>This spreasheet is directly linked to the K-State Beef Farm Management Guides and will be updated quarterly.  Users still need to enter prices/costs for their own production scenario.</t>
  </si>
  <si>
    <t>Feed Requirements without Purchased Replacements</t>
  </si>
  <si>
    <t>These tables will be hidden when posted</t>
  </si>
  <si>
    <t xml:space="preserve"> KSU Beef Cow Lease</t>
  </si>
  <si>
    <t>Publication: AM-FMG-CowLease</t>
  </si>
  <si>
    <t>Cattle Owner</t>
  </si>
  <si>
    <t>Livestock Operator</t>
  </si>
  <si>
    <t>Cow Depreciation</t>
  </si>
  <si>
    <t>cow death loss</t>
  </si>
  <si>
    <t>Cow Death Loss</t>
  </si>
  <si>
    <t>(per cow unit + 4% of bull)</t>
  </si>
  <si>
    <t>Expenses Contributed Less Cull Cow and Other Income</t>
  </si>
  <si>
    <t xml:space="preserve">Percentage of calves to split </t>
  </si>
  <si>
    <t>Change percentages to reflect which party is contributing the expense or receiving the income</t>
  </si>
  <si>
    <t>The KSU-Beef Cow Lease spreadsheet takes a budgeting approach to estimate the costs and returns for a year-long lease of a beef cow herd.  The Cattle Owner and Livestock Operator need to determine who will be contributing each expense and calf income will be shared accordingly.  Note: If the cowherd will be transitioning from the Cattle Owner to the Livestock Operator the spreadsheet should be re-evaluated every year as cattle ownership changes.</t>
  </si>
  <si>
    <r>
      <t xml:space="preserve">There are two spreadsheets for cow leasing: </t>
    </r>
    <r>
      <rPr>
        <b/>
        <i/>
        <sz val="12"/>
        <rFont val="Calibri"/>
        <family val="2"/>
        <scheme val="minor"/>
      </rPr>
      <t xml:space="preserve">Lease with Raised Repl </t>
    </r>
    <r>
      <rPr>
        <sz val="12"/>
        <rFont val="Calibri"/>
        <family val="2"/>
        <scheme val="minor"/>
      </rPr>
      <t xml:space="preserve">assumes that heifers will be retained for replacements from the cowherd and expenses in developing them are split the same as other cowherd expenses.  </t>
    </r>
    <r>
      <rPr>
        <b/>
        <i/>
        <sz val="12"/>
        <rFont val="Calibri"/>
        <family val="2"/>
        <scheme val="minor"/>
      </rPr>
      <t xml:space="preserve">Lease with Purchased Repl </t>
    </r>
    <r>
      <rPr>
        <sz val="12"/>
        <rFont val="Calibri"/>
        <family val="2"/>
        <scheme val="minor"/>
      </rPr>
      <t>assumes that all calves will be sold or transitioned out of the herd at weaning and bred heifers will be purchased for replacements.</t>
    </r>
  </si>
  <si>
    <t>(as of June 1st, 2016)</t>
  </si>
  <si>
    <t>(Nov. 2015 USDA)</t>
  </si>
  <si>
    <t>Corn ($/bu)</t>
  </si>
  <si>
    <t>Soybean Meal ($/ton)</t>
  </si>
  <si>
    <t>DDGS ($/ton)</t>
  </si>
  <si>
    <t>Silage ($/ton)</t>
  </si>
  <si>
    <t>Prairie Hay ($/ton)</t>
  </si>
  <si>
    <t>Alfalfa ($/ton)</t>
  </si>
  <si>
    <t>Pasture Rental ($/acre)</t>
  </si>
  <si>
    <t>Crop Residue ($/acre)</t>
  </si>
  <si>
    <t>Beef Cow Mineral ($/ton)</t>
  </si>
  <si>
    <t>Other Beef Mineral ($/ton)</t>
  </si>
  <si>
    <t>Oct. Heifer Calf Price ($/cwt)*</t>
  </si>
  <si>
    <t>Oct. Steer Calves Price ($/cwt)*</t>
  </si>
  <si>
    <t>Beef Cull cow ($/cwt)*****</t>
  </si>
  <si>
    <t>* This a predicted October price for the budget year</t>
  </si>
  <si>
    <t>*****This a current cull cow price for the date of the latest price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</si>
</sst>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164" formatCode="0.0"/>
    <numFmt numFmtId="165" formatCode="0.0%"/>
    <numFmt numFmtId="166" formatCode="mm/dd/yy;@"/>
    <numFmt numFmtId="167" formatCode="&quot;$&quot;#,##0.00"/>
    <numFmt numFmtId="168" formatCode="_(&quot;$&quot;* #,##0.0_);_(&quot;$&quot;* \(#,##0.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u/>
      <sz val="11"/>
      <color theme="1"/>
      <name val="Calibri"/>
      <family val="2"/>
      <scheme val="minor"/>
    </font>
    <font>
      <b/>
      <sz val="11"/>
      <color rgb="FFFF0000"/>
      <name val="Calibri"/>
      <family val="2"/>
      <scheme val="minor"/>
    </font>
    <font>
      <b/>
      <i/>
      <sz val="11"/>
      <color rgb="FF7030A0"/>
      <name val="Calibri"/>
      <family val="2"/>
      <scheme val="minor"/>
    </font>
    <font>
      <b/>
      <sz val="11"/>
      <color rgb="FF7030A0"/>
      <name val="Calibri"/>
      <family val="2"/>
      <scheme val="minor"/>
    </font>
    <font>
      <b/>
      <sz val="14"/>
      <color rgb="FF7030A0"/>
      <name val="Calibri"/>
      <family val="2"/>
      <scheme val="minor"/>
    </font>
    <font>
      <u/>
      <sz val="11"/>
      <color theme="10"/>
      <name val="Calibri"/>
      <family val="2"/>
      <scheme val="minor"/>
    </font>
    <font>
      <b/>
      <sz val="11"/>
      <name val="Calibri"/>
      <family val="2"/>
      <scheme val="minor"/>
    </font>
    <font>
      <b/>
      <sz val="12"/>
      <color rgb="FF7030A0"/>
      <name val="Calibri"/>
      <family val="2"/>
      <scheme val="minor"/>
    </font>
    <font>
      <b/>
      <i/>
      <sz val="12"/>
      <color rgb="FF7030A0"/>
      <name val="Calibri"/>
      <family val="2"/>
      <scheme val="minor"/>
    </font>
    <font>
      <b/>
      <sz val="22"/>
      <color theme="1"/>
      <name val="Calibri"/>
      <family val="2"/>
      <scheme val="minor"/>
    </font>
    <font>
      <sz val="11"/>
      <color theme="0"/>
      <name val="Calibri"/>
      <family val="2"/>
      <scheme val="minor"/>
    </font>
    <font>
      <i/>
      <sz val="9"/>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sz val="1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u/>
      <sz val="12"/>
      <color indexed="12"/>
      <name val="Calibri"/>
      <family val="2"/>
      <scheme val="minor"/>
    </font>
    <font>
      <b/>
      <i/>
      <sz val="12"/>
      <name val="Calibri"/>
      <family val="2"/>
      <scheme val="minor"/>
    </font>
    <font>
      <b/>
      <sz val="18"/>
      <color theme="1"/>
      <name val="Calibri"/>
      <family val="2"/>
      <scheme val="minor"/>
    </font>
    <font>
      <i/>
      <sz val="11"/>
      <color rgb="FFFF0000"/>
      <name val="Calibri"/>
      <family val="2"/>
      <scheme val="minor"/>
    </font>
    <font>
      <i/>
      <sz val="10"/>
      <color theme="1"/>
      <name val="Calibri"/>
      <family val="2"/>
      <scheme val="minor"/>
    </font>
    <font>
      <sz val="14"/>
      <color rgb="FF00000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7030A0"/>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style="thick">
        <color rgb="FFC00000"/>
      </right>
      <top style="thin">
        <color indexed="64"/>
      </top>
      <bottom/>
      <diagonal/>
    </border>
    <border>
      <left style="thick">
        <color rgb="FFC00000"/>
      </left>
      <right/>
      <top style="thin">
        <color indexed="64"/>
      </top>
      <bottom style="thin">
        <color indexed="64"/>
      </bottom>
      <diagonal/>
    </border>
    <border>
      <left/>
      <right/>
      <top style="thin">
        <color indexed="64"/>
      </top>
      <bottom style="thin">
        <color indexed="64"/>
      </bottom>
      <diagonal/>
    </border>
    <border>
      <left/>
      <right/>
      <top style="thick">
        <color rgb="FFC00000"/>
      </top>
      <bottom style="thin">
        <color indexed="64"/>
      </bottom>
      <diagonal/>
    </border>
    <border>
      <left/>
      <right style="thick">
        <color rgb="FFC00000"/>
      </right>
      <top style="thin">
        <color indexed="64"/>
      </top>
      <bottom style="thin">
        <color indexed="64"/>
      </bottom>
      <diagonal/>
    </border>
    <border>
      <left/>
      <right style="thick">
        <color rgb="FFC00000"/>
      </right>
      <top style="thick">
        <color rgb="FFC00000"/>
      </top>
      <bottom style="thin">
        <color indexed="64"/>
      </bottom>
      <diagonal/>
    </border>
    <border>
      <left/>
      <right style="thick">
        <color rgb="FFC00000"/>
      </right>
      <top style="thin">
        <color indexed="64"/>
      </top>
      <bottom style="thick">
        <color rgb="FFC00000"/>
      </bottom>
      <diagonal/>
    </border>
    <border>
      <left/>
      <right/>
      <top style="thin">
        <color indexed="64"/>
      </top>
      <bottom style="thick">
        <color rgb="FFC00000"/>
      </bottom>
      <diagonal/>
    </border>
    <border>
      <left style="thick">
        <color rgb="FFC00000"/>
      </left>
      <right/>
      <top style="thick">
        <color rgb="FFC00000"/>
      </top>
      <bottom style="thin">
        <color indexed="64"/>
      </bottom>
      <diagonal/>
    </border>
  </borders>
  <cellStyleXfs count="6">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21"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cellStyleXfs>
  <cellXfs count="279">
    <xf numFmtId="0" fontId="0" fillId="0" borderId="0" xfId="0"/>
    <xf numFmtId="44" fontId="4" fillId="0" borderId="0" xfId="1" applyFont="1" applyAlignment="1">
      <alignment horizontal="center"/>
    </xf>
    <xf numFmtId="0" fontId="2" fillId="0" borderId="0" xfId="0" applyFont="1"/>
    <xf numFmtId="164" fontId="4" fillId="0" borderId="0" xfId="0" applyNumberFormat="1" applyFont="1" applyAlignment="1">
      <alignment horizontal="center"/>
    </xf>
    <xf numFmtId="44" fontId="0" fillId="0" borderId="0" xfId="0" applyNumberFormat="1"/>
    <xf numFmtId="2" fontId="0" fillId="0" borderId="0" xfId="0" applyNumberFormat="1"/>
    <xf numFmtId="0" fontId="7" fillId="0" borderId="0" xfId="0" applyFont="1"/>
    <xf numFmtId="2" fontId="7" fillId="0" borderId="0" xfId="0" applyNumberFormat="1" applyFont="1"/>
    <xf numFmtId="0" fontId="8" fillId="0" borderId="0" xfId="0" applyFont="1"/>
    <xf numFmtId="44" fontId="2" fillId="0" borderId="0" xfId="0" applyNumberFormat="1" applyFont="1"/>
    <xf numFmtId="44" fontId="3" fillId="0" borderId="0" xfId="1" applyFont="1" applyAlignment="1">
      <alignment horizontal="center"/>
    </xf>
    <xf numFmtId="0" fontId="9" fillId="0" borderId="0" xfId="0" applyFont="1"/>
    <xf numFmtId="0" fontId="0" fillId="0" borderId="0" xfId="0" applyAlignment="1">
      <alignment horizontal="center"/>
    </xf>
    <xf numFmtId="2" fontId="0" fillId="0" borderId="0" xfId="0" applyNumberFormat="1" applyAlignment="1">
      <alignment horizontal="center"/>
    </xf>
    <xf numFmtId="0" fontId="0" fillId="0" borderId="1" xfId="0" applyBorder="1"/>
    <xf numFmtId="0" fontId="0" fillId="0" borderId="1" xfId="0" applyBorder="1" applyAlignment="1">
      <alignment horizontal="center"/>
    </xf>
    <xf numFmtId="0" fontId="2" fillId="0" borderId="1" xfId="0" applyFont="1" applyBorder="1" applyAlignment="1">
      <alignment horizontal="center" vertical="center" wrapText="1"/>
    </xf>
    <xf numFmtId="44" fontId="2" fillId="0" borderId="1" xfId="0" applyNumberFormat="1" applyFont="1" applyBorder="1"/>
    <xf numFmtId="44" fontId="2" fillId="0" borderId="0" xfId="0" applyNumberFormat="1" applyFont="1" applyBorder="1"/>
    <xf numFmtId="0" fontId="8" fillId="0" borderId="1" xfId="0" applyFont="1" applyBorder="1"/>
    <xf numFmtId="0" fontId="11" fillId="0" borderId="0" xfId="0" applyFont="1" applyFill="1" applyAlignment="1">
      <alignment horizontal="right"/>
    </xf>
    <xf numFmtId="0" fontId="12" fillId="0" borderId="0" xfId="0" applyFont="1" applyFill="1"/>
    <xf numFmtId="0" fontId="0" fillId="0" borderId="0" xfId="0" applyFill="1"/>
    <xf numFmtId="0" fontId="0" fillId="0" borderId="0" xfId="0" applyFill="1" applyAlignment="1">
      <alignment horizontal="center"/>
    </xf>
    <xf numFmtId="44" fontId="2" fillId="0" borderId="2" xfId="0" applyNumberFormat="1" applyFont="1" applyBorder="1"/>
    <xf numFmtId="0" fontId="2" fillId="2" borderId="0" xfId="0" applyFont="1" applyFill="1"/>
    <xf numFmtId="0" fontId="0" fillId="0" borderId="0" xfId="0" applyAlignment="1">
      <alignment horizontal="left"/>
    </xf>
    <xf numFmtId="2" fontId="4" fillId="0" borderId="0" xfId="0" applyNumberFormat="1" applyFont="1" applyAlignment="1">
      <alignment horizontal="center"/>
    </xf>
    <xf numFmtId="0" fontId="2" fillId="0" borderId="0" xfId="0" applyFont="1" applyBorder="1"/>
    <xf numFmtId="0" fontId="0" fillId="0" borderId="0" xfId="0" applyBorder="1"/>
    <xf numFmtId="0" fontId="0" fillId="0" borderId="0" xfId="0" applyBorder="1" applyAlignment="1">
      <alignment horizontal="center"/>
    </xf>
    <xf numFmtId="0" fontId="16" fillId="2" borderId="1" xfId="0" applyFont="1" applyFill="1" applyBorder="1" applyAlignment="1">
      <alignment horizontal="left"/>
    </xf>
    <xf numFmtId="0" fontId="2" fillId="3" borderId="0" xfId="0" applyFont="1" applyFill="1"/>
    <xf numFmtId="0" fontId="0" fillId="3" borderId="0" xfId="0" applyFill="1"/>
    <xf numFmtId="0" fontId="14" fillId="3" borderId="0" xfId="2" applyFill="1"/>
    <xf numFmtId="17" fontId="0" fillId="0" borderId="0" xfId="0" applyNumberFormat="1"/>
    <xf numFmtId="0" fontId="7" fillId="0" borderId="1" xfId="0" applyFont="1" applyBorder="1"/>
    <xf numFmtId="164" fontId="4" fillId="0" borderId="1" xfId="0" applyNumberFormat="1" applyFont="1" applyBorder="1" applyAlignment="1">
      <alignment horizontal="center"/>
    </xf>
    <xf numFmtId="2" fontId="0" fillId="0" borderId="1" xfId="0" applyNumberFormat="1" applyBorder="1"/>
    <xf numFmtId="2"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0" fontId="2" fillId="0" borderId="0" xfId="0" applyFont="1" applyBorder="1" applyAlignment="1">
      <alignment horizontal="center" vertical="center" wrapText="1"/>
    </xf>
    <xf numFmtId="164" fontId="3" fillId="0" borderId="0" xfId="0" applyNumberFormat="1" applyFont="1" applyAlignment="1">
      <alignment horizontal="center"/>
    </xf>
    <xf numFmtId="0" fontId="0" fillId="0" borderId="4" xfId="0" applyBorder="1"/>
    <xf numFmtId="0" fontId="2" fillId="4" borderId="4" xfId="0" applyFont="1" applyFill="1" applyBorder="1"/>
    <xf numFmtId="0" fontId="0" fillId="0" borderId="0" xfId="0" applyFill="1" applyBorder="1"/>
    <xf numFmtId="0" fontId="0" fillId="0" borderId="1" xfId="0" applyFill="1" applyBorder="1"/>
    <xf numFmtId="2" fontId="3" fillId="0" borderId="0" xfId="0" applyNumberFormat="1" applyFont="1" applyAlignment="1">
      <alignment horizontal="center"/>
    </xf>
    <xf numFmtId="0" fontId="2" fillId="0" borderId="5" xfId="0" applyFont="1" applyBorder="1"/>
    <xf numFmtId="44" fontId="0" fillId="0" borderId="0" xfId="0" applyNumberFormat="1" applyBorder="1"/>
    <xf numFmtId="0" fontId="2" fillId="0" borderId="5" xfId="0" applyFont="1" applyBorder="1" applyAlignment="1">
      <alignment horizontal="center" vertical="center" wrapText="1"/>
    </xf>
    <xf numFmtId="44" fontId="0" fillId="0" borderId="0" xfId="0" applyNumberFormat="1" applyBorder="1" applyAlignment="1">
      <alignment horizontal="center"/>
    </xf>
    <xf numFmtId="0" fontId="16" fillId="0" borderId="0" xfId="0" applyFont="1" applyFill="1" applyBorder="1" applyAlignment="1">
      <alignment horizontal="left"/>
    </xf>
    <xf numFmtId="0" fontId="16" fillId="0" borderId="0" xfId="0" applyFont="1"/>
    <xf numFmtId="0" fontId="2" fillId="0" borderId="5" xfId="0" applyFont="1" applyBorder="1" applyAlignment="1">
      <alignment horizontal="center" vertical="center" wrapText="1"/>
    </xf>
    <xf numFmtId="0" fontId="0" fillId="0" borderId="0" xfId="0" applyAlignment="1">
      <alignment horizontal="center"/>
    </xf>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9" xfId="0" applyBorder="1"/>
    <xf numFmtId="0" fontId="7" fillId="0" borderId="0" xfId="0" applyFont="1" applyBorder="1"/>
    <xf numFmtId="0" fontId="0" fillId="0" borderId="9" xfId="0" applyBorder="1" applyAlignment="1">
      <alignment horizontal="right"/>
    </xf>
    <xf numFmtId="0" fontId="0" fillId="0" borderId="11" xfId="0" applyBorder="1"/>
    <xf numFmtId="0" fontId="7" fillId="0" borderId="4" xfId="0" applyFont="1" applyBorder="1"/>
    <xf numFmtId="0" fontId="0" fillId="0" borderId="12" xfId="0" applyBorder="1"/>
    <xf numFmtId="44" fontId="0" fillId="0" borderId="0" xfId="0" applyNumberFormat="1" applyFill="1"/>
    <xf numFmtId="0" fontId="3" fillId="3" borderId="0" xfId="0" applyFont="1" applyFill="1"/>
    <xf numFmtId="0" fontId="15" fillId="2" borderId="0" xfId="0" applyFont="1" applyFill="1"/>
    <xf numFmtId="0" fontId="15" fillId="3" borderId="0" xfId="0" applyFont="1" applyFill="1"/>
    <xf numFmtId="44" fontId="4" fillId="2" borderId="0" xfId="1" applyFont="1" applyFill="1" applyAlignment="1" applyProtection="1">
      <alignment horizontal="center"/>
      <protection locked="0"/>
    </xf>
    <xf numFmtId="44" fontId="4" fillId="3" borderId="0" xfId="1" applyFont="1" applyFill="1" applyAlignment="1" applyProtection="1">
      <alignment horizontal="center"/>
      <protection locked="0"/>
    </xf>
    <xf numFmtId="44" fontId="4" fillId="0" borderId="0" xfId="1" applyFont="1" applyFill="1" applyAlignment="1" applyProtection="1">
      <alignment horizontal="center"/>
      <protection locked="0"/>
    </xf>
    <xf numFmtId="0" fontId="0" fillId="0" borderId="0" xfId="0" applyFill="1" applyProtection="1">
      <protection locked="0"/>
    </xf>
    <xf numFmtId="164" fontId="4" fillId="0" borderId="0" xfId="0" applyNumberFormat="1" applyFont="1" applyBorder="1" applyAlignment="1" applyProtection="1">
      <alignment horizontal="center"/>
      <protection locked="0"/>
    </xf>
    <xf numFmtId="2" fontId="4" fillId="0" borderId="0"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44" fontId="4" fillId="0" borderId="0" xfId="1" applyFont="1" applyAlignment="1" applyProtection="1">
      <alignment horizontal="center"/>
      <protection locked="0"/>
    </xf>
    <xf numFmtId="1"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44" fontId="4" fillId="0" borderId="1" xfId="1" applyFont="1" applyBorder="1" applyAlignment="1" applyProtection="1">
      <alignment horizontal="center"/>
      <protection locked="0"/>
    </xf>
    <xf numFmtId="0" fontId="0" fillId="0" borderId="0" xfId="0" applyAlignment="1">
      <alignment horizontal="center"/>
    </xf>
    <xf numFmtId="44" fontId="3" fillId="0" borderId="0" xfId="1" applyFont="1" applyAlignment="1" applyProtection="1">
      <alignment horizontal="center"/>
    </xf>
    <xf numFmtId="44" fontId="10" fillId="0" borderId="0" xfId="1" applyFont="1" applyFill="1" applyAlignment="1" applyProtection="1">
      <alignment horizontal="center"/>
      <protection locked="0"/>
    </xf>
    <xf numFmtId="44" fontId="0" fillId="0" borderId="0" xfId="0" applyNumberFormat="1" applyBorder="1" applyAlignment="1">
      <alignment horizontal="center"/>
    </xf>
    <xf numFmtId="0" fontId="0" fillId="0" borderId="0" xfId="0" applyBorder="1" applyAlignment="1">
      <alignment horizontal="center"/>
    </xf>
    <xf numFmtId="0" fontId="20" fillId="0" borderId="0" xfId="0" applyFont="1" applyFill="1"/>
    <xf numFmtId="0" fontId="21" fillId="0" borderId="0" xfId="3" applyProtection="1"/>
    <xf numFmtId="0" fontId="22" fillId="5" borderId="14" xfId="3" applyFont="1" applyFill="1" applyBorder="1" applyProtection="1"/>
    <xf numFmtId="0" fontId="22" fillId="5" borderId="15" xfId="3" applyFont="1" applyFill="1" applyBorder="1" applyProtection="1"/>
    <xf numFmtId="0" fontId="22" fillId="5" borderId="13" xfId="3" applyFont="1" applyFill="1" applyBorder="1" applyProtection="1"/>
    <xf numFmtId="0" fontId="23" fillId="5" borderId="9" xfId="3" applyFont="1" applyFill="1" applyBorder="1" applyAlignment="1" applyProtection="1"/>
    <xf numFmtId="0" fontId="24" fillId="5" borderId="0" xfId="3" applyFont="1" applyFill="1" applyAlignment="1" applyProtection="1"/>
    <xf numFmtId="0" fontId="25" fillId="5" borderId="0" xfId="3" applyFont="1" applyFill="1" applyBorder="1" applyProtection="1"/>
    <xf numFmtId="0" fontId="22" fillId="5" borderId="0" xfId="3" applyFont="1" applyFill="1" applyBorder="1" applyProtection="1"/>
    <xf numFmtId="0" fontId="22" fillId="5" borderId="10" xfId="3" applyFont="1" applyFill="1" applyBorder="1" applyProtection="1"/>
    <xf numFmtId="0" fontId="25" fillId="5" borderId="9" xfId="3" applyFont="1" applyFill="1" applyBorder="1" applyProtection="1"/>
    <xf numFmtId="0" fontId="26" fillId="5" borderId="0" xfId="3" applyFont="1" applyFill="1" applyBorder="1" applyAlignment="1" applyProtection="1">
      <alignment horizontal="left"/>
    </xf>
    <xf numFmtId="0" fontId="27" fillId="5" borderId="0" xfId="3" applyFont="1" applyFill="1" applyAlignment="1" applyProtection="1">
      <alignment horizontal="left"/>
    </xf>
    <xf numFmtId="0" fontId="28" fillId="5" borderId="0" xfId="3" applyFont="1" applyFill="1" applyAlignment="1" applyProtection="1"/>
    <xf numFmtId="0" fontId="22" fillId="5" borderId="9" xfId="3" applyFont="1" applyFill="1" applyBorder="1" applyAlignment="1" applyProtection="1">
      <alignment horizontal="center"/>
    </xf>
    <xf numFmtId="0" fontId="32" fillId="5" borderId="0" xfId="3" applyFont="1" applyFill="1" applyAlignment="1" applyProtection="1">
      <alignment wrapText="1"/>
    </xf>
    <xf numFmtId="0" fontId="33" fillId="5" borderId="0" xfId="3" applyFont="1" applyFill="1" applyBorder="1" applyProtection="1"/>
    <xf numFmtId="0" fontId="34" fillId="5" borderId="10" xfId="3" applyFont="1" applyFill="1" applyBorder="1" applyProtection="1"/>
    <xf numFmtId="0" fontId="22" fillId="5" borderId="11" xfId="3" applyFont="1" applyFill="1" applyBorder="1" applyProtection="1"/>
    <xf numFmtId="0" fontId="22" fillId="5" borderId="4" xfId="3" applyFont="1" applyFill="1" applyBorder="1" applyProtection="1"/>
    <xf numFmtId="0" fontId="33" fillId="5" borderId="4" xfId="3" applyFont="1" applyFill="1" applyBorder="1" applyProtection="1"/>
    <xf numFmtId="0" fontId="35" fillId="5" borderId="12" xfId="3" applyFont="1" applyFill="1" applyBorder="1" applyAlignment="1" applyProtection="1">
      <alignment horizontal="right"/>
    </xf>
    <xf numFmtId="0" fontId="37" fillId="0" borderId="0" xfId="3" applyFont="1" applyProtection="1"/>
    <xf numFmtId="0" fontId="37" fillId="0" borderId="0" xfId="3" applyFont="1" applyFill="1" applyBorder="1" applyProtection="1"/>
    <xf numFmtId="0" fontId="38" fillId="0" borderId="0" xfId="3" applyFont="1" applyAlignment="1" applyProtection="1"/>
    <xf numFmtId="0" fontId="39" fillId="0" borderId="0" xfId="3" applyFont="1" applyAlignment="1" applyProtection="1"/>
    <xf numFmtId="0" fontId="39" fillId="0" borderId="0" xfId="3" applyFont="1" applyProtection="1"/>
    <xf numFmtId="0" fontId="40" fillId="0" borderId="0" xfId="3" applyFont="1" applyProtection="1"/>
    <xf numFmtId="0" fontId="40" fillId="0" borderId="0" xfId="3" applyFont="1" applyFill="1" applyProtection="1"/>
    <xf numFmtId="0" fontId="40" fillId="0" borderId="0" xfId="3" applyFont="1" applyAlignment="1" applyProtection="1">
      <alignment vertical="center" wrapText="1"/>
    </xf>
    <xf numFmtId="0" fontId="38" fillId="0" borderId="0" xfId="3" applyFont="1" applyProtection="1"/>
    <xf numFmtId="0" fontId="39" fillId="0" borderId="0" xfId="3" applyFont="1" applyAlignment="1" applyProtection="1">
      <alignment horizontal="center"/>
    </xf>
    <xf numFmtId="0" fontId="43" fillId="0" borderId="0" xfId="4" applyFont="1" applyAlignment="1" applyProtection="1"/>
    <xf numFmtId="0" fontId="39" fillId="0" borderId="0" xfId="3" applyFont="1" applyFill="1" applyAlignment="1" applyProtection="1"/>
    <xf numFmtId="0" fontId="39" fillId="0" borderId="0" xfId="5" applyFont="1" applyFill="1" applyAlignment="1" applyProtection="1"/>
    <xf numFmtId="0" fontId="40" fillId="0" borderId="0" xfId="3" applyFont="1" applyAlignment="1" applyProtection="1">
      <alignment horizontal="left" wrapText="1"/>
    </xf>
    <xf numFmtId="44" fontId="7" fillId="0" borderId="0" xfId="0" applyNumberFormat="1" applyFont="1" applyBorder="1"/>
    <xf numFmtId="44" fontId="7" fillId="0" borderId="0" xfId="0" applyNumberFormat="1" applyFont="1" applyBorder="1" applyAlignment="1">
      <alignment horizontal="center"/>
    </xf>
    <xf numFmtId="0" fontId="7" fillId="0" borderId="0" xfId="0" applyFont="1" applyBorder="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16" fillId="2" borderId="1" xfId="0" applyFont="1" applyFill="1" applyBorder="1" applyAlignment="1">
      <alignment horizontal="left"/>
    </xf>
    <xf numFmtId="0" fontId="0" fillId="0" borderId="0" xfId="0" applyAlignment="1">
      <alignment horizontal="center"/>
    </xf>
    <xf numFmtId="0" fontId="0" fillId="0" borderId="0" xfId="0" applyAlignment="1">
      <alignment horizontal="right"/>
    </xf>
    <xf numFmtId="44" fontId="4" fillId="2" borderId="0" xfId="0" applyNumberFormat="1" applyFont="1" applyFill="1"/>
    <xf numFmtId="0" fontId="4" fillId="3" borderId="0" xfId="0" applyFont="1" applyFill="1"/>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2" fillId="4" borderId="6" xfId="0" applyFont="1" applyFill="1" applyBorder="1" applyAlignment="1">
      <alignment wrapText="1"/>
    </xf>
    <xf numFmtId="2" fontId="15" fillId="0" borderId="0" xfId="0" applyNumberFormat="1" applyFont="1" applyBorder="1" applyAlignment="1">
      <alignment horizontal="center"/>
    </xf>
    <xf numFmtId="164" fontId="15" fillId="0" borderId="0" xfId="0" applyNumberFormat="1" applyFont="1" applyBorder="1" applyAlignment="1">
      <alignment horizontal="center"/>
    </xf>
    <xf numFmtId="0" fontId="0" fillId="6" borderId="0" xfId="0" applyFill="1" applyAlignment="1">
      <alignment horizontal="center"/>
    </xf>
    <xf numFmtId="0" fontId="0" fillId="3" borderId="0" xfId="0" applyFill="1" applyAlignment="1">
      <alignment horizontal="center"/>
    </xf>
    <xf numFmtId="9" fontId="0" fillId="3" borderId="0" xfId="0" applyNumberFormat="1" applyFill="1" applyAlignment="1">
      <alignment horizontal="center"/>
    </xf>
    <xf numFmtId="0" fontId="0" fillId="6" borderId="1" xfId="0" applyFill="1" applyBorder="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167" fontId="2" fillId="6" borderId="0" xfId="0" applyNumberFormat="1" applyFont="1" applyFill="1" applyAlignment="1">
      <alignment horizontal="center"/>
    </xf>
    <xf numFmtId="167" fontId="2" fillId="3" borderId="0" xfId="0" applyNumberFormat="1" applyFont="1" applyFill="1" applyAlignment="1">
      <alignment horizontal="center"/>
    </xf>
    <xf numFmtId="42" fontId="4" fillId="0" borderId="0" xfId="0" applyNumberFormat="1" applyFont="1" applyBorder="1"/>
    <xf numFmtId="165" fontId="4" fillId="0" borderId="0" xfId="0" applyNumberFormat="1" applyFont="1" applyBorder="1"/>
    <xf numFmtId="168" fontId="0" fillId="0" borderId="0" xfId="0" applyNumberFormat="1" applyBorder="1"/>
    <xf numFmtId="0" fontId="0" fillId="0" borderId="0" xfId="0" applyFont="1" applyBorder="1" applyAlignment="1">
      <alignment horizontal="left" vertical="center" wrapText="1"/>
    </xf>
    <xf numFmtId="0" fontId="19" fillId="0" borderId="0" xfId="0" applyFont="1" applyFill="1"/>
    <xf numFmtId="0" fontId="19" fillId="0" borderId="0" xfId="0" applyFont="1" applyFill="1" applyAlignment="1"/>
    <xf numFmtId="0" fontId="39" fillId="0" borderId="0" xfId="3" applyFont="1" applyAlignment="1" applyProtection="1">
      <alignment horizontal="left" wrapText="1"/>
    </xf>
    <xf numFmtId="0" fontId="0" fillId="0" borderId="0" xfId="0" applyBorder="1" applyAlignment="1">
      <alignment horizontal="center"/>
    </xf>
    <xf numFmtId="0" fontId="16" fillId="2" borderId="1" xfId="0" applyFont="1" applyFill="1" applyBorder="1" applyAlignment="1">
      <alignment horizontal="left"/>
    </xf>
    <xf numFmtId="166" fontId="13" fillId="2" borderId="0" xfId="0" applyNumberFormat="1" applyFont="1" applyFill="1" applyBorder="1" applyAlignment="1">
      <alignment horizontal="center" vertical="center" wrapText="1"/>
    </xf>
    <xf numFmtId="0" fontId="0" fillId="0" borderId="0" xfId="0" applyBorder="1" applyAlignment="1">
      <alignment horizontal="left"/>
    </xf>
    <xf numFmtId="0" fontId="16" fillId="2" borderId="0" xfId="0" applyFont="1" applyFill="1" applyBorder="1" applyAlignment="1">
      <alignment horizontal="left"/>
    </xf>
    <xf numFmtId="0" fontId="13" fillId="2" borderId="0" xfId="0" applyFont="1" applyFill="1" applyBorder="1" applyAlignment="1">
      <alignment horizontal="center"/>
    </xf>
    <xf numFmtId="0" fontId="16" fillId="2" borderId="0" xfId="0" applyFont="1" applyFill="1" applyBorder="1" applyAlignment="1">
      <alignment horizontal="center"/>
    </xf>
    <xf numFmtId="0" fontId="2" fillId="6" borderId="4" xfId="0" applyFont="1" applyFill="1" applyBorder="1" applyAlignment="1">
      <alignment horizontal="center" wrapText="1"/>
    </xf>
    <xf numFmtId="0" fontId="2" fillId="3" borderId="4" xfId="0" applyFont="1" applyFill="1" applyBorder="1" applyAlignment="1">
      <alignment horizontal="center" wrapText="1"/>
    </xf>
    <xf numFmtId="0" fontId="13" fillId="2" borderId="0" xfId="0" applyFont="1" applyFill="1" applyBorder="1" applyAlignment="1">
      <alignment horizontal="left" vertical="center" wrapText="1"/>
    </xf>
    <xf numFmtId="0" fontId="0" fillId="0" borderId="0" xfId="0" applyBorder="1" applyAlignment="1">
      <alignment horizontal="left" vertical="center" wrapText="1"/>
    </xf>
    <xf numFmtId="0" fontId="13" fillId="2" borderId="0" xfId="0" applyFont="1" applyFill="1" applyBorder="1" applyAlignment="1">
      <alignment horizontal="right"/>
    </xf>
    <xf numFmtId="9" fontId="3" fillId="6" borderId="0" xfId="0" applyNumberFormat="1" applyFont="1" applyFill="1" applyAlignment="1">
      <alignment horizontal="center"/>
    </xf>
    <xf numFmtId="167" fontId="0" fillId="6" borderId="0" xfId="0" applyNumberFormat="1" applyFont="1" applyFill="1" applyBorder="1" applyAlignment="1">
      <alignment horizontal="center"/>
    </xf>
    <xf numFmtId="167" fontId="0" fillId="3" borderId="0" xfId="0" applyNumberFormat="1" applyFont="1" applyFill="1" applyBorder="1" applyAlignment="1">
      <alignment horizontal="center"/>
    </xf>
    <xf numFmtId="44" fontId="2" fillId="0" borderId="26" xfId="0" applyNumberFormat="1" applyFont="1" applyBorder="1"/>
    <xf numFmtId="44" fontId="2" fillId="0" borderId="27" xfId="0" applyNumberFormat="1" applyFont="1" applyBorder="1"/>
    <xf numFmtId="0" fontId="0" fillId="0" borderId="27" xfId="0" applyBorder="1"/>
    <xf numFmtId="44" fontId="0" fillId="0" borderId="1" xfId="0" applyNumberFormat="1" applyBorder="1"/>
    <xf numFmtId="0" fontId="2" fillId="6" borderId="1" xfId="0" applyFont="1" applyFill="1" applyBorder="1" applyAlignment="1">
      <alignment horizontal="center" wrapText="1"/>
    </xf>
    <xf numFmtId="9" fontId="0" fillId="6" borderId="0" xfId="0" applyNumberFormat="1" applyFill="1" applyAlignment="1">
      <alignment horizontal="center"/>
    </xf>
    <xf numFmtId="167" fontId="2" fillId="6" borderId="27" xfId="0" applyNumberFormat="1" applyFont="1" applyFill="1" applyBorder="1" applyAlignment="1">
      <alignment horizontal="center"/>
    </xf>
    <xf numFmtId="44" fontId="0" fillId="0" borderId="29" xfId="0" applyNumberFormat="1" applyBorder="1"/>
    <xf numFmtId="44" fontId="2" fillId="0" borderId="25" xfId="0" applyNumberFormat="1" applyFont="1" applyBorder="1"/>
    <xf numFmtId="9" fontId="0" fillId="6" borderId="1" xfId="0" applyNumberFormat="1" applyFill="1" applyBorder="1" applyAlignment="1">
      <alignment horizontal="center"/>
    </xf>
    <xf numFmtId="165" fontId="3" fillId="0" borderId="0" xfId="0" applyNumberFormat="1" applyFont="1" applyAlignment="1" applyProtection="1">
      <alignment horizontal="center"/>
      <protection locked="0"/>
    </xf>
    <xf numFmtId="167" fontId="2" fillId="6" borderId="27" xfId="0" applyNumberFormat="1" applyFont="1" applyFill="1" applyBorder="1" applyAlignment="1">
      <alignment horizontal="center" vertical="center"/>
    </xf>
    <xf numFmtId="167" fontId="2" fillId="6" borderId="1" xfId="0" applyNumberFormat="1" applyFont="1" applyFill="1" applyBorder="1" applyAlignment="1">
      <alignment horizontal="center" vertical="center"/>
    </xf>
    <xf numFmtId="10" fontId="2" fillId="6" borderId="31" xfId="0" applyNumberFormat="1" applyFont="1" applyFill="1" applyBorder="1" applyAlignment="1">
      <alignment horizontal="center" vertical="center"/>
    </xf>
    <xf numFmtId="44" fontId="2" fillId="0" borderId="26" xfId="0" applyNumberFormat="1" applyFont="1" applyBorder="1" applyAlignment="1">
      <alignment vertical="center"/>
    </xf>
    <xf numFmtId="44" fontId="2" fillId="0" borderId="27" xfId="0" applyNumberFormat="1" applyFont="1" applyBorder="1" applyAlignment="1">
      <alignment vertical="center"/>
    </xf>
    <xf numFmtId="167" fontId="2" fillId="6" borderId="37" xfId="0" applyNumberFormat="1" applyFont="1" applyFill="1" applyBorder="1" applyAlignment="1">
      <alignment horizontal="center" vertical="center"/>
    </xf>
    <xf numFmtId="167" fontId="2" fillId="3" borderId="32" xfId="0" applyNumberFormat="1" applyFont="1" applyFill="1" applyBorder="1" applyAlignment="1">
      <alignment horizontal="center" vertical="center"/>
    </xf>
    <xf numFmtId="165" fontId="2" fillId="0" borderId="30" xfId="0" applyNumberFormat="1" applyFont="1" applyBorder="1" applyAlignment="1">
      <alignment horizontal="center" vertical="center"/>
    </xf>
    <xf numFmtId="165" fontId="2" fillId="0" borderId="31" xfId="0" applyNumberFormat="1" applyFont="1" applyBorder="1" applyAlignment="1">
      <alignment horizontal="center" vertical="center"/>
    </xf>
    <xf numFmtId="167" fontId="0" fillId="3" borderId="27" xfId="0" applyNumberFormat="1" applyFont="1" applyFill="1" applyBorder="1" applyAlignment="1">
      <alignment horizontal="center"/>
    </xf>
    <xf numFmtId="167" fontId="0" fillId="6" borderId="27" xfId="0" applyNumberFormat="1" applyFont="1" applyFill="1" applyBorder="1" applyAlignment="1">
      <alignment horizontal="center"/>
    </xf>
    <xf numFmtId="167" fontId="2" fillId="6" borderId="37" xfId="0" applyNumberFormat="1" applyFont="1" applyFill="1" applyBorder="1" applyAlignment="1">
      <alignment horizontal="center"/>
    </xf>
    <xf numFmtId="167" fontId="2" fillId="3" borderId="32" xfId="0" applyNumberFormat="1" applyFont="1" applyFill="1" applyBorder="1" applyAlignment="1">
      <alignment horizontal="center"/>
    </xf>
    <xf numFmtId="165" fontId="2" fillId="0" borderId="30" xfId="0" applyNumberFormat="1" applyFont="1" applyBorder="1" applyAlignment="1">
      <alignment horizontal="center"/>
    </xf>
    <xf numFmtId="165" fontId="2" fillId="0" borderId="31" xfId="0" applyNumberFormat="1"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44" fontId="2" fillId="0" borderId="3" xfId="0" applyNumberFormat="1" applyFont="1" applyBorder="1"/>
    <xf numFmtId="44" fontId="1" fillId="0" borderId="0" xfId="1" applyFont="1" applyAlignment="1" applyProtection="1">
      <alignment horizontal="center"/>
      <protection locked="0"/>
    </xf>
    <xf numFmtId="44" fontId="3" fillId="0" borderId="0" xfId="1" applyFont="1" applyAlignment="1" applyProtection="1">
      <alignment horizontal="center"/>
      <protection locked="0"/>
    </xf>
    <xf numFmtId="2" fontId="0" fillId="0" borderId="0" xfId="0" applyNumberFormat="1" applyProtection="1">
      <protection locked="0"/>
    </xf>
    <xf numFmtId="164" fontId="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42" fontId="4" fillId="0" borderId="0" xfId="0" applyNumberFormat="1" applyFont="1" applyBorder="1" applyProtection="1">
      <protection locked="0"/>
    </xf>
    <xf numFmtId="165" fontId="4" fillId="0" borderId="0" xfId="0" applyNumberFormat="1" applyFont="1" applyBorder="1" applyProtection="1">
      <protection locked="0"/>
    </xf>
    <xf numFmtId="9" fontId="4" fillId="6" borderId="0" xfId="0" applyNumberFormat="1" applyFont="1" applyFill="1" applyAlignment="1" applyProtection="1">
      <alignment horizontal="center"/>
      <protection locked="0"/>
    </xf>
    <xf numFmtId="9" fontId="4" fillId="6" borderId="1" xfId="0" applyNumberFormat="1" applyFont="1" applyFill="1" applyBorder="1" applyAlignment="1" applyProtection="1">
      <alignment horizontal="center"/>
      <protection locked="0"/>
    </xf>
    <xf numFmtId="168" fontId="0" fillId="0" borderId="0" xfId="0" applyNumberFormat="1" applyBorder="1" applyProtection="1">
      <protection locked="0"/>
    </xf>
    <xf numFmtId="9" fontId="0" fillId="3" borderId="0" xfId="0" applyNumberFormat="1" applyFill="1" applyAlignment="1">
      <alignment horizontal="center"/>
    </xf>
    <xf numFmtId="0" fontId="0" fillId="0" borderId="0" xfId="0" applyBorder="1" applyAlignment="1">
      <alignment horizontal="center"/>
    </xf>
    <xf numFmtId="0" fontId="40" fillId="0" borderId="0" xfId="3" applyFont="1" applyAlignment="1" applyProtection="1">
      <alignment horizontal="left" wrapText="1"/>
    </xf>
    <xf numFmtId="0" fontId="25" fillId="5" borderId="9" xfId="3" applyFont="1" applyFill="1" applyBorder="1" applyAlignment="1" applyProtection="1">
      <alignment horizontal="left" wrapText="1"/>
    </xf>
    <xf numFmtId="0" fontId="29" fillId="5" borderId="0" xfId="3" applyFont="1" applyFill="1" applyAlignment="1" applyProtection="1">
      <alignment wrapText="1"/>
    </xf>
    <xf numFmtId="0" fontId="29" fillId="5" borderId="9" xfId="3" applyFont="1" applyFill="1" applyBorder="1" applyAlignment="1" applyProtection="1">
      <alignment wrapText="1"/>
    </xf>
    <xf numFmtId="0" fontId="30" fillId="0" borderId="0" xfId="3" applyFont="1" applyAlignment="1" applyProtection="1">
      <alignment wrapText="1"/>
    </xf>
    <xf numFmtId="0" fontId="31" fillId="0" borderId="0" xfId="3" applyFont="1" applyAlignment="1" applyProtection="1">
      <alignment wrapText="1"/>
    </xf>
    <xf numFmtId="0" fontId="35" fillId="5" borderId="4" xfId="3" applyFont="1" applyFill="1" applyBorder="1" applyAlignment="1" applyProtection="1">
      <alignment horizontal="right"/>
    </xf>
    <xf numFmtId="0" fontId="32" fillId="5" borderId="4" xfId="3" applyFont="1" applyFill="1" applyBorder="1" applyAlignment="1" applyProtection="1">
      <alignment horizontal="right"/>
    </xf>
    <xf numFmtId="14" fontId="35" fillId="5" borderId="4" xfId="3" applyNumberFormat="1" applyFont="1" applyFill="1" applyBorder="1" applyAlignment="1" applyProtection="1">
      <alignment horizontal="left"/>
    </xf>
    <xf numFmtId="0" fontId="32" fillId="5" borderId="4" xfId="3" applyFont="1" applyFill="1" applyBorder="1" applyAlignment="1" applyProtection="1">
      <alignment horizontal="left"/>
    </xf>
    <xf numFmtId="0" fontId="36" fillId="0" borderId="0" xfId="3" applyFont="1" applyProtection="1"/>
    <xf numFmtId="0" fontId="39" fillId="0" borderId="0" xfId="3" applyFont="1" applyAlignment="1" applyProtection="1">
      <alignment horizontal="left" vertical="top" wrapText="1"/>
    </xf>
    <xf numFmtId="0" fontId="38" fillId="0" borderId="0" xfId="3" applyFont="1" applyAlignment="1" applyProtection="1"/>
    <xf numFmtId="0" fontId="39" fillId="0" borderId="0" xfId="3" applyFont="1" applyAlignment="1" applyProtection="1"/>
    <xf numFmtId="0" fontId="39" fillId="0" borderId="0" xfId="3" applyFont="1" applyAlignment="1" applyProtection="1">
      <alignment horizontal="left" wrapText="1"/>
    </xf>
    <xf numFmtId="0" fontId="39" fillId="0" borderId="0" xfId="3" applyFont="1" applyAlignment="1" applyProtection="1">
      <alignment horizontal="left" vertical="center" wrapText="1"/>
    </xf>
    <xf numFmtId="0" fontId="43" fillId="0" borderId="0" xfId="4" applyFont="1" applyAlignment="1" applyProtection="1"/>
    <xf numFmtId="0" fontId="18" fillId="0" borderId="0" xfId="0" applyFont="1" applyAlignment="1">
      <alignment horizontal="center"/>
    </xf>
    <xf numFmtId="0" fontId="45" fillId="0" borderId="16" xfId="0" applyFont="1" applyBorder="1" applyAlignment="1">
      <alignment horizontal="center"/>
    </xf>
    <xf numFmtId="0" fontId="45" fillId="0" borderId="17" xfId="0" applyFont="1" applyBorder="1" applyAlignment="1">
      <alignment horizontal="center"/>
    </xf>
    <xf numFmtId="0" fontId="45" fillId="0" borderId="18" xfId="0" applyFont="1" applyBorder="1" applyAlignment="1">
      <alignment horizontal="center"/>
    </xf>
    <xf numFmtId="0" fontId="46" fillId="0" borderId="0" xfId="0" applyFont="1" applyAlignment="1">
      <alignment horizontal="center"/>
    </xf>
    <xf numFmtId="44" fontId="0" fillId="0" borderId="0" xfId="0" applyNumberFormat="1" applyBorder="1" applyAlignment="1">
      <alignment horizontal="center"/>
    </xf>
    <xf numFmtId="0" fontId="0" fillId="0" borderId="0" xfId="0" applyBorder="1" applyAlignment="1">
      <alignment horizontal="center"/>
    </xf>
    <xf numFmtId="0" fontId="13" fillId="2" borderId="4" xfId="0" applyFont="1" applyFill="1" applyBorder="1" applyAlignment="1">
      <alignment horizontal="right"/>
    </xf>
    <xf numFmtId="0" fontId="13" fillId="2" borderId="4" xfId="0" applyFont="1" applyFill="1" applyBorder="1" applyAlignment="1">
      <alignment horizontal="center"/>
    </xf>
    <xf numFmtId="0" fontId="2" fillId="0" borderId="5" xfId="0" applyFont="1" applyBorder="1" applyAlignment="1">
      <alignment horizontal="center" vertical="center"/>
    </xf>
    <xf numFmtId="0" fontId="13" fillId="2" borderId="1" xfId="0" applyFont="1" applyFill="1" applyBorder="1" applyAlignment="1">
      <alignment horizontal="left" vertical="center" wrapText="1"/>
    </xf>
    <xf numFmtId="0" fontId="0" fillId="0" borderId="1" xfId="0" applyBorder="1" applyAlignment="1">
      <alignment horizontal="left" vertical="center" wrapText="1"/>
    </xf>
    <xf numFmtId="0" fontId="13" fillId="2" borderId="1" xfId="0" applyFont="1" applyFill="1" applyBorder="1" applyAlignment="1" applyProtection="1">
      <alignment horizontal="right" vertical="center" wrapText="1"/>
      <protection locked="0"/>
    </xf>
    <xf numFmtId="166" fontId="13" fillId="2" borderId="1" xfId="0" applyNumberFormat="1" applyFont="1" applyFill="1" applyBorder="1" applyAlignment="1">
      <alignment horizontal="center" vertical="center" wrapText="1"/>
    </xf>
    <xf numFmtId="0" fontId="16" fillId="2" borderId="3" xfId="0" applyFont="1" applyFill="1" applyBorder="1" applyAlignment="1">
      <alignment horizontal="left" vertical="center" wrapText="1"/>
    </xf>
    <xf numFmtId="0" fontId="0" fillId="0" borderId="3" xfId="0" applyBorder="1" applyAlignment="1">
      <alignment horizontal="left"/>
    </xf>
    <xf numFmtId="0" fontId="13" fillId="2" borderId="4" xfId="0" applyFont="1" applyFill="1" applyBorder="1" applyAlignment="1">
      <alignment horizontal="left" vertical="center" wrapText="1"/>
    </xf>
    <xf numFmtId="0" fontId="0" fillId="0" borderId="4" xfId="0" applyBorder="1" applyAlignment="1">
      <alignment horizontal="left" vertical="center" wrapText="1"/>
    </xf>
    <xf numFmtId="0" fontId="16" fillId="2" borderId="1" xfId="0" applyFont="1" applyFill="1" applyBorder="1" applyAlignment="1">
      <alignment horizontal="left"/>
    </xf>
    <xf numFmtId="0" fontId="47" fillId="0" borderId="0" xfId="0" applyFont="1" applyFill="1" applyAlignment="1">
      <alignment horizont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33"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6" fillId="2" borderId="1" xfId="0" applyFont="1" applyFill="1" applyBorder="1" applyAlignment="1">
      <alignment horizontal="center"/>
    </xf>
    <xf numFmtId="0" fontId="2" fillId="3" borderId="1" xfId="0" applyFont="1" applyFill="1" applyBorder="1" applyAlignment="1">
      <alignment horizontal="center" wrapText="1"/>
    </xf>
    <xf numFmtId="0" fontId="0" fillId="3" borderId="0" xfId="0" applyFill="1" applyAlignment="1">
      <alignment horizontal="center"/>
    </xf>
    <xf numFmtId="9" fontId="0" fillId="3" borderId="0" xfId="0" applyNumberFormat="1" applyFill="1" applyAlignment="1">
      <alignment horizontal="center"/>
    </xf>
    <xf numFmtId="0" fontId="0" fillId="3" borderId="1" xfId="0" applyFill="1" applyBorder="1" applyAlignment="1">
      <alignment horizontal="center"/>
    </xf>
    <xf numFmtId="9" fontId="0" fillId="3" borderId="1" xfId="0" applyNumberFormat="1" applyFill="1" applyBorder="1" applyAlignment="1">
      <alignment horizontal="center"/>
    </xf>
    <xf numFmtId="167" fontId="2" fillId="3" borderId="0" xfId="0" applyNumberFormat="1" applyFont="1" applyFill="1" applyAlignment="1">
      <alignment horizontal="center"/>
    </xf>
    <xf numFmtId="167" fontId="2" fillId="3" borderId="27" xfId="0" applyNumberFormat="1" applyFont="1" applyFill="1" applyBorder="1" applyAlignment="1">
      <alignment horizontal="center"/>
    </xf>
    <xf numFmtId="167" fontId="2" fillId="3" borderId="32" xfId="0" applyNumberFormat="1" applyFont="1" applyFill="1" applyBorder="1" applyAlignment="1">
      <alignment horizontal="center" vertical="center"/>
    </xf>
    <xf numFmtId="165" fontId="2" fillId="3" borderId="31" xfId="0" applyNumberFormat="1" applyFont="1" applyFill="1" applyBorder="1" applyAlignment="1">
      <alignment horizontal="center" vertical="center"/>
    </xf>
    <xf numFmtId="44" fontId="2" fillId="3" borderId="27" xfId="0" applyNumberFormat="1" applyFont="1" applyFill="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47" fillId="0" borderId="23" xfId="0" applyFont="1" applyFill="1" applyBorder="1" applyAlignment="1">
      <alignment horizontal="center" wrapText="1"/>
    </xf>
    <xf numFmtId="0" fontId="47" fillId="0" borderId="24" xfId="0" applyFont="1" applyFill="1" applyBorder="1" applyAlignment="1">
      <alignment horizontal="center" wrapText="1"/>
    </xf>
    <xf numFmtId="0" fontId="47" fillId="0" borderId="19" xfId="0" applyFont="1" applyFill="1" applyBorder="1" applyAlignment="1">
      <alignment horizontal="center" wrapText="1"/>
    </xf>
    <xf numFmtId="0" fontId="47" fillId="0" borderId="20" xfId="0" applyFont="1" applyFill="1" applyBorder="1" applyAlignment="1">
      <alignment horizontal="center" wrapText="1"/>
    </xf>
    <xf numFmtId="0" fontId="47" fillId="0" borderId="21" xfId="0" applyFont="1" applyFill="1" applyBorder="1" applyAlignment="1">
      <alignment horizontal="center" wrapText="1"/>
    </xf>
    <xf numFmtId="0" fontId="47" fillId="0" borderId="22" xfId="0" applyFont="1" applyFill="1" applyBorder="1" applyAlignment="1">
      <alignment horizontal="center" wrapText="1"/>
    </xf>
    <xf numFmtId="167" fontId="0" fillId="3" borderId="27" xfId="0" applyNumberFormat="1" applyFont="1" applyFill="1" applyBorder="1" applyAlignment="1">
      <alignment horizontal="center"/>
    </xf>
  </cellXfs>
  <cellStyles count="6">
    <cellStyle name="Currency" xfId="1" builtinId="4"/>
    <cellStyle name="Hyperlink" xfId="2" builtinId="8"/>
    <cellStyle name="Hyperlink 2" xfId="4"/>
    <cellStyle name="Hyperlink_K-State Vegetative Buffer" xfId="5"/>
    <cellStyle name="Normal" xfId="0" builtinId="0"/>
    <cellStyle name="Normal 2" xfId="3"/>
  </cellStyles>
  <dxfs count="0"/>
  <tableStyles count="0" defaultTableStyle="TableStyleMedium2" defaultPivotStyle="PivotStyleLight16"/>
  <colors>
    <mruColors>
      <color rgb="FF996633"/>
      <color rgb="FFFF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www.ageconomics.k-state.edu/" TargetMode="External"/><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image" Target="../media/image3.jpe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9</xdr:col>
      <xdr:colOff>414130</xdr:colOff>
      <xdr:row>22</xdr:row>
      <xdr:rowOff>103532</xdr:rowOff>
    </xdr:from>
    <xdr:to>
      <xdr:col>11</xdr:col>
      <xdr:colOff>1532282</xdr:colOff>
      <xdr:row>25</xdr:row>
      <xdr:rowOff>124238</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19530" y="3761132"/>
          <a:ext cx="2337352" cy="506481"/>
        </a:xfrm>
        <a:prstGeom prst="rect">
          <a:avLst/>
        </a:prstGeom>
      </xdr:spPr>
    </xdr:pic>
    <xdr:clientData/>
  </xdr:twoCellAnchor>
  <xdr:twoCellAnchor editAs="oneCell">
    <xdr:from>
      <xdr:col>0</xdr:col>
      <xdr:colOff>176007</xdr:colOff>
      <xdr:row>56</xdr:row>
      <xdr:rowOff>115534</xdr:rowOff>
    </xdr:from>
    <xdr:to>
      <xdr:col>5</xdr:col>
      <xdr:colOff>352012</xdr:colOff>
      <xdr:row>60</xdr:row>
      <xdr:rowOff>51766</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007" y="9716734"/>
          <a:ext cx="2843005" cy="622031"/>
        </a:xfrm>
        <a:prstGeom prst="rect">
          <a:avLst/>
        </a:prstGeom>
      </xdr:spPr>
    </xdr:pic>
    <xdr:clientData/>
  </xdr:twoCellAnchor>
  <xdr:twoCellAnchor editAs="oneCell">
    <xdr:from>
      <xdr:col>1</xdr:col>
      <xdr:colOff>0</xdr:colOff>
      <xdr:row>8</xdr:row>
      <xdr:rowOff>10353</xdr:rowOff>
    </xdr:from>
    <xdr:to>
      <xdr:col>12</xdr:col>
      <xdr:colOff>2468</xdr:colOff>
      <xdr:row>25</xdr:row>
      <xdr:rowOff>134592</xdr:rowOff>
    </xdr:to>
    <xdr:pic>
      <xdr:nvPicPr>
        <xdr:cNvPr id="7" name="Picture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0582" b="2602"/>
        <a:stretch/>
      </xdr:blipFill>
      <xdr:spPr>
        <a:xfrm>
          <a:off x="238125" y="1428750"/>
          <a:ext cx="7653528" cy="2898913"/>
        </a:xfrm>
        <a:prstGeom prst="rect">
          <a:avLst/>
        </a:prstGeom>
        <a:ln>
          <a:solidFill>
            <a:sysClr val="windowText" lastClr="000000"/>
          </a:solidFill>
        </a:ln>
      </xdr:spPr>
    </xdr:pic>
    <xdr:clientData/>
  </xdr:twoCellAnchor>
  <xdr:twoCellAnchor editAs="oneCell">
    <xdr:from>
      <xdr:col>9</xdr:col>
      <xdr:colOff>424483</xdr:colOff>
      <xdr:row>22</xdr:row>
      <xdr:rowOff>103533</xdr:rowOff>
    </xdr:from>
    <xdr:to>
      <xdr:col>11</xdr:col>
      <xdr:colOff>1542635</xdr:colOff>
      <xdr:row>25</xdr:row>
      <xdr:rowOff>124239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29883" y="3761133"/>
          <a:ext cx="2337352"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130</xdr:row>
      <xdr:rowOff>187902</xdr:rowOff>
    </xdr:from>
    <xdr:to>
      <xdr:col>9</xdr:col>
      <xdr:colOff>702470</xdr:colOff>
      <xdr:row>131</xdr:row>
      <xdr:rowOff>744682</xdr:rowOff>
    </xdr:to>
    <xdr:sp macro="" textlink="">
      <xdr:nvSpPr>
        <xdr:cNvPr id="11" name="TextBox 10"/>
        <xdr:cNvSpPr txBox="1"/>
      </xdr:nvSpPr>
      <xdr:spPr>
        <a:xfrm>
          <a:off x="0" y="25922720"/>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25977</xdr:colOff>
      <xdr:row>48</xdr:row>
      <xdr:rowOff>25978</xdr:rowOff>
    </xdr:from>
    <xdr:to>
      <xdr:col>2</xdr:col>
      <xdr:colOff>347922</xdr:colOff>
      <xdr:row>90</xdr:row>
      <xdr:rowOff>363681</xdr:rowOff>
    </xdr:to>
    <xdr:sp macro="" textlink="">
      <xdr:nvSpPr>
        <xdr:cNvPr id="7" name="TextBox 6"/>
        <xdr:cNvSpPr txBox="1"/>
      </xdr:nvSpPr>
      <xdr:spPr>
        <a:xfrm>
          <a:off x="25977" y="9966614"/>
          <a:ext cx="3248718" cy="8667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"2016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a:t>
          </a:r>
          <a:r>
            <a:rPr lang="en-US" sz="1100" baseline="0">
              <a:solidFill>
                <a:schemeClr val="dk1"/>
              </a:solidFill>
              <a:effectLst/>
              <a:latin typeface="+mn-lt"/>
              <a:ea typeface="+mn-ea"/>
              <a:cs typeface="+mn-cs"/>
            </a:rPr>
            <a:t>The default Cow/Calf budget assumes a spring calving herd that develops their own replacements; therefore costs include 16% of the cost of raising a replacement heifer (default is a 16% replacement percentage) and 4% of the cost of maintaining a bull (assuming 1 bull per 20 cows).  </a:t>
          </a:r>
          <a:r>
            <a:rPr lang="en-US" sz="1100" baseline="0"/>
            <a:t>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heifer calves retained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  Heifer calves that will become replacement are "sold" and then "bought" back later in the budget.  </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but "purchase" heifer calves that will be retained for replacements.</a:t>
          </a: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329045</xdr:colOff>
      <xdr:row>48</xdr:row>
      <xdr:rowOff>25977</xdr:rowOff>
    </xdr:from>
    <xdr:to>
      <xdr:col>9</xdr:col>
      <xdr:colOff>955962</xdr:colOff>
      <xdr:row>90</xdr:row>
      <xdr:rowOff>240724</xdr:rowOff>
    </xdr:to>
    <xdr:sp macro="" textlink="">
      <xdr:nvSpPr>
        <xdr:cNvPr id="8" name="TextBox 7"/>
        <xdr:cNvSpPr txBox="1"/>
      </xdr:nvSpPr>
      <xdr:spPr>
        <a:xfrm>
          <a:off x="3255818" y="9966613"/>
          <a:ext cx="3605644" cy="8544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5% of the labor will be furnished by the Cattle Owner to manage paperwork.  The remaining 95%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weaned heifers for replacements and expenses will be applied equal to the replacement rate (default is 16%).  How is works is all calves are priced as if they will be sold and income split in percentages of contributed expenses, but the Cattle Owner will be the purchaser of the heifers to retain.  </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endParaRPr lang="en-US">
            <a:effectLst/>
          </a:endParaRPr>
        </a:p>
        <a:p>
          <a:endParaRPr lang="en-US" sz="1100" b="0" baseline="0">
            <a:solidFill>
              <a:schemeClr val="dk1"/>
            </a:solidFill>
            <a:effectLst/>
            <a:latin typeface="+mn-lt"/>
            <a:ea typeface="+mn-ea"/>
            <a:cs typeface="+mn-cs"/>
          </a:endParaRPr>
        </a:p>
      </xdr:txBody>
    </xdr:sp>
    <xdr:clientData/>
  </xdr:twoCellAnchor>
  <xdr:twoCellAnchor>
    <xdr:from>
      <xdr:col>0</xdr:col>
      <xdr:colOff>0</xdr:colOff>
      <xdr:row>95</xdr:row>
      <xdr:rowOff>0</xdr:rowOff>
    </xdr:from>
    <xdr:to>
      <xdr:col>9</xdr:col>
      <xdr:colOff>943841</xdr:colOff>
      <xdr:row>98</xdr:row>
      <xdr:rowOff>432954</xdr:rowOff>
    </xdr:to>
    <xdr:sp macro="" textlink="">
      <xdr:nvSpPr>
        <xdr:cNvPr id="9" name="TextBox 8"/>
        <xdr:cNvSpPr txBox="1"/>
      </xdr:nvSpPr>
      <xdr:spPr>
        <a:xfrm>
          <a:off x="0" y="19829318"/>
          <a:ext cx="6849341" cy="2294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9226" name="Button 10" hidden="1">
              <a:extLst>
                <a:ext uri="{63B3BB69-23CF-44E3-9099-C40C66FF867C}">
                  <a14:compatExt spid="_x0000_s9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4</xdr:row>
          <xdr:rowOff>47625</xdr:rowOff>
        </xdr:from>
        <xdr:to>
          <xdr:col>19</xdr:col>
          <xdr:colOff>0</xdr:colOff>
          <xdr:row>6</xdr:row>
          <xdr:rowOff>95250</xdr:rowOff>
        </xdr:to>
        <xdr:sp macro="" textlink="">
          <xdr:nvSpPr>
            <xdr:cNvPr id="9227" name="Button 11" hidden="1">
              <a:extLst>
                <a:ext uri="{63B3BB69-23CF-44E3-9099-C40C66FF867C}">
                  <a14:compatExt spid="_x0000_s92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rPr>
                <a:t>Print Full Worksheet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9526</xdr:colOff>
      <xdr:row>49</xdr:row>
      <xdr:rowOff>19047</xdr:rowOff>
    </xdr:from>
    <xdr:to>
      <xdr:col>2</xdr:col>
      <xdr:colOff>331471</xdr:colOff>
      <xdr:row>91</xdr:row>
      <xdr:rowOff>389659</xdr:rowOff>
    </xdr:to>
    <xdr:sp macro="" textlink="">
      <xdr:nvSpPr>
        <xdr:cNvPr id="2" name="TextBox 1"/>
        <xdr:cNvSpPr txBox="1"/>
      </xdr:nvSpPr>
      <xdr:spPr>
        <a:xfrm>
          <a:off x="9526" y="9682592"/>
          <a:ext cx="3248718" cy="852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a:t>	</a:t>
          </a:r>
          <a:r>
            <a:rPr lang="en-US" sz="1100" baseline="0"/>
            <a:t>Cowherd leases are becoming increasingly popular in Kansas as beginning farmers lack capital for purchasing and established farmers want to direct their labor or time elsewhere.  A simple way to approach a cowherd lease is through budgeting; accounting for all costs to run the cowherd for a year and dividing calf income in proportion to expenses contributed.  The KSU-Beef Cow Lease follows a similar format to the Beef Farm Management Guides, allowing the user to change certain key inputs to cater the budget to their production situation.  While defaults in the spreadsheet are research-based estimates for the state, users should enter their own prices and costs using the cells in </a:t>
          </a:r>
          <a:r>
            <a:rPr lang="en-US" sz="1100" b="1" baseline="0">
              <a:solidFill>
                <a:srgbClr val="0070C0"/>
              </a:solidFill>
            </a:rPr>
            <a:t>blue</a:t>
          </a:r>
          <a:r>
            <a:rPr lang="en-US" sz="1100" baseline="0"/>
            <a:t>. </a:t>
          </a:r>
          <a:r>
            <a:rPr lang="en-US" sz="1100">
              <a:solidFill>
                <a:schemeClr val="dk1"/>
              </a:solidFill>
              <a:effectLst/>
              <a:latin typeface="+mn-lt"/>
              <a:ea typeface="+mn-ea"/>
              <a:cs typeface="+mn-cs"/>
            </a:rPr>
            <a:t>Base prices</a:t>
          </a:r>
          <a:r>
            <a:rPr lang="en-US" sz="1100" baseline="0">
              <a:solidFill>
                <a:schemeClr val="dk1"/>
              </a:solidFill>
              <a:effectLst/>
              <a:latin typeface="+mn-lt"/>
              <a:ea typeface="+mn-ea"/>
              <a:cs typeface="+mn-cs"/>
            </a:rPr>
            <a:t> reflect one production year with weaned calf sales occurring in October</a:t>
          </a:r>
          <a:r>
            <a:rPr lang="en-US" sz="1100">
              <a:solidFill>
                <a:schemeClr val="dk1"/>
              </a:solidFill>
              <a:effectLst/>
              <a:latin typeface="+mn-lt"/>
              <a:ea typeface="+mn-ea"/>
              <a:cs typeface="+mn-cs"/>
            </a:rPr>
            <a:t>.  The percentages under "Cattle Owner"</a:t>
          </a:r>
          <a:r>
            <a:rPr lang="en-US" sz="1100" baseline="0">
              <a:solidFill>
                <a:schemeClr val="dk1"/>
              </a:solidFill>
              <a:effectLst/>
              <a:latin typeface="+mn-lt"/>
              <a:ea typeface="+mn-ea"/>
              <a:cs typeface="+mn-cs"/>
            </a:rPr>
            <a:t> and "Livestock Operator" should be changed to reflect which party is contributing the expense or receiving the income (in the case of cull cows).</a:t>
          </a:r>
          <a:r>
            <a:rPr lang="en-US" sz="1100" baseline="0"/>
            <a:t>	</a:t>
          </a:r>
        </a:p>
        <a:p>
          <a:pPr marL="0" marR="0" indent="0" defTabSz="914400" eaLnBrk="1" fontAlgn="auto" latinLnBrk="0" hangingPunct="1">
            <a:lnSpc>
              <a:spcPct val="100000"/>
            </a:lnSpc>
            <a:spcBef>
              <a:spcPts val="0"/>
            </a:spcBef>
            <a:spcAft>
              <a:spcPts val="0"/>
            </a:spcAft>
            <a:buClrTx/>
            <a:buSzTx/>
            <a:buFontTx/>
            <a:buNone/>
            <a:tabLst>
              <a:tab pos="365760" algn="l"/>
            </a:tabLst>
            <a:defRPr/>
          </a:pPr>
          <a:r>
            <a:rPr lang="en-US" sz="1100" baseline="0"/>
            <a:t>	Two different sets of price forecasts are available in the spreadsheet.  By clicking the dropdown menu at the top of the budget, a user can select "2016 Production Year" or "Five Year Out Prices".  All price assumptions can be viewed in the </a:t>
          </a:r>
          <a:r>
            <a:rPr lang="en-US" sz="1100" i="1" baseline="0"/>
            <a:t>Prices </a:t>
          </a:r>
          <a:r>
            <a:rPr lang="en-US" sz="1100" baseline="0"/>
            <a:t>tab.  </a:t>
          </a:r>
        </a:p>
        <a:p>
          <a:pPr>
            <a:tabLst>
              <a:tab pos="365760" algn="l"/>
            </a:tabLst>
          </a:pPr>
          <a:r>
            <a:rPr lang="en-US" sz="1100" baseline="0"/>
            <a:t>	Feed assumptions can be viewed in the </a:t>
          </a:r>
          <a:r>
            <a:rPr lang="en-US" sz="1100" i="1" baseline="0"/>
            <a:t>Feed</a:t>
          </a:r>
          <a:r>
            <a:rPr lang="en-US" sz="1100" baseline="0"/>
            <a:t> tab.  The default Cow/Calf budget assumes a spring calving herd that sells all calves at weaning and purchases bred replacement heifers; therefore feed includes the cow year-round and 4% of the feed to maintain a bull (assuming 1 bull per 20 cows).  </a:t>
          </a:r>
        </a:p>
        <a:p>
          <a:pPr>
            <a:tabLst>
              <a:tab pos="365760" algn="l"/>
            </a:tabLst>
          </a:pPr>
          <a:r>
            <a:rPr lang="en-US" sz="1100" baseline="0"/>
            <a:t>	For more information on Cowherd leases, visit </a:t>
          </a:r>
          <a:r>
            <a:rPr lang="en-US" sz="1100" b="1" i="1" baseline="0">
              <a:solidFill>
                <a:srgbClr val="0070C0"/>
              </a:solidFill>
            </a:rPr>
            <a:t>http://www.agmanager.info/farmmgt/land/lease/forms/NCFMEC-06.pdf </a:t>
          </a:r>
        </a:p>
        <a:p>
          <a:pPr>
            <a:tabLst>
              <a:tab pos="365760" algn="l"/>
            </a:tabLst>
          </a:pPr>
          <a:endParaRPr lang="en-US" sz="400" baseline="0"/>
        </a:p>
        <a:p>
          <a:pPr>
            <a:tabLst>
              <a:tab pos="365760" algn="l"/>
            </a:tabLst>
          </a:pPr>
          <a:endParaRPr lang="en-US" sz="800" u="sng" baseline="0"/>
        </a:p>
        <a:p>
          <a:pPr>
            <a:tabLst>
              <a:tab pos="365760" algn="l"/>
            </a:tabLst>
          </a:pPr>
          <a:r>
            <a:rPr lang="en-US" sz="1100" u="sng" baseline="0"/>
            <a:t>Production Efficiency Measures</a:t>
          </a:r>
        </a:p>
        <a:p>
          <a:pPr>
            <a:tabLst>
              <a:tab pos="365760" algn="l"/>
            </a:tabLst>
          </a:pPr>
          <a:r>
            <a:rPr lang="en-US" sz="1100" b="1" baseline="0"/>
            <a:t>Weaning Percentage: </a:t>
          </a:r>
          <a:r>
            <a:rPr lang="en-US" sz="1100" b="0" baseline="0"/>
            <a:t>Calves weaned per cow exposed.  </a:t>
          </a:r>
        </a:p>
        <a:p>
          <a:pPr>
            <a:tabLst>
              <a:tab pos="365760" algn="l"/>
            </a:tabLst>
          </a:pPr>
          <a:r>
            <a:rPr lang="en-US" sz="1100" b="1" baseline="0">
              <a:solidFill>
                <a:schemeClr val="dk1"/>
              </a:solidFill>
              <a:effectLst/>
              <a:latin typeface="+mn-lt"/>
              <a:ea typeface="+mn-ea"/>
              <a:cs typeface="+mn-cs"/>
            </a:rPr>
            <a:t>Cow Replacement Percentage: </a:t>
          </a:r>
          <a:r>
            <a:rPr lang="en-US" sz="1100" b="0" baseline="0">
              <a:solidFill>
                <a:schemeClr val="dk1"/>
              </a:solidFill>
              <a:effectLst/>
              <a:latin typeface="+mn-lt"/>
              <a:ea typeface="+mn-ea"/>
              <a:cs typeface="+mn-cs"/>
            </a:rPr>
            <a:t>Percent of bred heifers purchased for replacements as well as cull cows sold. </a:t>
          </a:r>
        </a:p>
        <a:p>
          <a:pPr>
            <a:tabLst>
              <a:tab pos="365760" algn="l"/>
            </a:tabLst>
          </a:pPr>
          <a:endParaRPr lang="en-US" sz="400" b="0" baseline="0">
            <a:solidFill>
              <a:srgbClr val="FF0000"/>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Revenue</a:t>
          </a:r>
          <a:endParaRPr lang="en-US">
            <a:effectLst/>
          </a:endParaRPr>
        </a:p>
        <a:p>
          <a:pPr eaLnBrk="1" fontAlgn="auto" latinLnBrk="0" hangingPunct="1"/>
          <a:r>
            <a:rPr lang="en-US" sz="1100" b="1" baseline="0">
              <a:solidFill>
                <a:schemeClr val="dk1"/>
              </a:solidFill>
              <a:effectLst/>
              <a:latin typeface="+mn-lt"/>
              <a:ea typeface="+mn-ea"/>
              <a:cs typeface="+mn-cs"/>
            </a:rPr>
            <a:t>Weaned Calf Sale: </a:t>
          </a:r>
          <a:r>
            <a:rPr lang="en-US" sz="1100" b="0" baseline="0">
              <a:solidFill>
                <a:schemeClr val="dk1"/>
              </a:solidFill>
              <a:effectLst/>
              <a:latin typeface="+mn-lt"/>
              <a:ea typeface="+mn-ea"/>
              <a:cs typeface="+mn-cs"/>
            </a:rPr>
            <a:t>Price is weighted between steer and heifer calves at 50%.</a:t>
          </a:r>
          <a:endParaRPr lang="en-US">
            <a:effectLst/>
          </a:endParaRPr>
        </a:p>
        <a:p>
          <a:pPr eaLnBrk="1" fontAlgn="auto" latinLnBrk="0" hangingPunct="1"/>
          <a:r>
            <a:rPr lang="en-US" sz="1100" b="1" baseline="0">
              <a:solidFill>
                <a:schemeClr val="dk1"/>
              </a:solidFill>
              <a:effectLst/>
              <a:latin typeface="+mn-lt"/>
              <a:ea typeface="+mn-ea"/>
              <a:cs typeface="+mn-cs"/>
            </a:rPr>
            <a:t>Cull Cows: </a:t>
          </a:r>
          <a:r>
            <a:rPr lang="en-US" sz="1100" b="0" baseline="0">
              <a:solidFill>
                <a:schemeClr val="dk1"/>
              </a:solidFill>
              <a:effectLst/>
              <a:latin typeface="+mn-lt"/>
              <a:ea typeface="+mn-ea"/>
              <a:cs typeface="+mn-cs"/>
            </a:rPr>
            <a:t>Cow Replacement Percentage will determine the amount of cull cow sales to attribute per cow.  The default assumes the Livestock Owner will receive all income from cull cows and purchase bred replacement heifers from an outside source.</a:t>
          </a:r>
          <a:endParaRPr lang="en-US">
            <a:effectLst/>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sz="1100" b="0"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tab pos="365760" algn="l"/>
            </a:tabLst>
            <a:defRPr/>
          </a:pPr>
          <a:endParaRPr lang="en-US">
            <a:effectLst/>
          </a:endParaRPr>
        </a:p>
        <a:p>
          <a:pPr>
            <a:tabLst>
              <a:tab pos="365760" algn="l"/>
            </a:tabLst>
          </a:pPr>
          <a:endParaRPr lang="en-US" sz="1100" b="1"/>
        </a:p>
      </xdr:txBody>
    </xdr:sp>
    <xdr:clientData/>
  </xdr:twoCellAnchor>
  <xdr:twoCellAnchor>
    <xdr:from>
      <xdr:col>2</xdr:col>
      <xdr:colOff>342901</xdr:colOff>
      <xdr:row>49</xdr:row>
      <xdr:rowOff>19048</xdr:rowOff>
    </xdr:from>
    <xdr:to>
      <xdr:col>10</xdr:col>
      <xdr:colOff>0</xdr:colOff>
      <xdr:row>92</xdr:row>
      <xdr:rowOff>0</xdr:rowOff>
    </xdr:to>
    <xdr:sp macro="" textlink="">
      <xdr:nvSpPr>
        <xdr:cNvPr id="3" name="TextBox 2"/>
        <xdr:cNvSpPr txBox="1"/>
      </xdr:nvSpPr>
      <xdr:spPr>
        <a:xfrm>
          <a:off x="3267076" y="9305923"/>
          <a:ext cx="3627120" cy="82962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u="sng" baseline="0">
              <a:solidFill>
                <a:schemeClr val="dk1"/>
              </a:solidFill>
              <a:effectLst/>
              <a:latin typeface="+mn-lt"/>
              <a:ea typeface="+mn-ea"/>
              <a:cs typeface="+mn-cs"/>
            </a:rPr>
            <a:t>Variable Costs</a:t>
          </a:r>
          <a:endParaRPr lang="en-US">
            <a:effectLst/>
          </a:endParaRPr>
        </a:p>
        <a:p>
          <a:pPr eaLnBrk="1" fontAlgn="auto" latinLnBrk="0" hangingPunct="1"/>
          <a:r>
            <a:rPr lang="en-US" sz="1100" b="1" baseline="0">
              <a:solidFill>
                <a:schemeClr val="dk1"/>
              </a:solidFill>
              <a:effectLst/>
              <a:latin typeface="+mn-lt"/>
              <a:ea typeface="+mn-ea"/>
              <a:cs typeface="+mn-cs"/>
            </a:rPr>
            <a:t>Pasture, Crop Residue, Harvested Forage, Grain/Protein Supplements, and Mineral: </a:t>
          </a:r>
          <a:r>
            <a:rPr lang="en-US" sz="1100" b="0" baseline="0">
              <a:solidFill>
                <a:schemeClr val="dk1"/>
              </a:solidFill>
              <a:effectLst/>
              <a:latin typeface="+mn-lt"/>
              <a:ea typeface="+mn-ea"/>
              <a:cs typeface="+mn-cs"/>
            </a:rPr>
            <a:t>Can be viewed and adjusted in the </a:t>
          </a:r>
          <a:r>
            <a:rPr lang="en-US" sz="1100" b="0" i="1" baseline="0">
              <a:solidFill>
                <a:schemeClr val="dk1"/>
              </a:solidFill>
              <a:effectLst/>
              <a:latin typeface="+mn-lt"/>
              <a:ea typeface="+mn-ea"/>
              <a:cs typeface="+mn-cs"/>
            </a:rPr>
            <a:t>Feed</a:t>
          </a:r>
          <a:r>
            <a:rPr lang="en-US" sz="1100" b="0" baseline="0">
              <a:solidFill>
                <a:schemeClr val="dk1"/>
              </a:solidFill>
              <a:effectLst/>
              <a:latin typeface="+mn-lt"/>
              <a:ea typeface="+mn-ea"/>
              <a:cs typeface="+mn-cs"/>
            </a:rPr>
            <a:t> tab. The default scenario assumes the Livestock Operator will provide all feed expenses.  If the Cattle Owner is also providing pasture, for example, change the pasture to 100% for the Cattle Owner.</a:t>
          </a:r>
        </a:p>
        <a:p>
          <a:pPr eaLnBrk="1" fontAlgn="auto" latinLnBrk="0" hangingPunct="1"/>
          <a:r>
            <a:rPr lang="en-US" sz="1100" b="1" baseline="0">
              <a:solidFill>
                <a:schemeClr val="dk1"/>
              </a:solidFill>
              <a:effectLst/>
              <a:latin typeface="+mn-lt"/>
              <a:ea typeface="+mn-ea"/>
              <a:cs typeface="+mn-cs"/>
            </a:rPr>
            <a:t>Labor: </a:t>
          </a:r>
          <a:r>
            <a:rPr lang="en-US" sz="1100" b="0" baseline="0">
              <a:solidFill>
                <a:schemeClr val="dk1"/>
              </a:solidFill>
              <a:effectLst/>
              <a:latin typeface="+mn-lt"/>
              <a:ea typeface="+mn-ea"/>
              <a:cs typeface="+mn-cs"/>
            </a:rPr>
            <a:t>Default assumes 10% of the labor will be furnished by the Cattle Owner to manage paperwork, purchase replacements, etc.  The remaining 90% will be contributed by the Livestock Operator.</a:t>
          </a:r>
        </a:p>
        <a:p>
          <a:pPr eaLnBrk="1" fontAlgn="auto" latinLnBrk="0" hangingPunct="1"/>
          <a:r>
            <a:rPr lang="en-US" sz="1100" b="1" baseline="0">
              <a:solidFill>
                <a:schemeClr val="dk1"/>
              </a:solidFill>
              <a:effectLst/>
              <a:latin typeface="+mn-lt"/>
              <a:ea typeface="+mn-ea"/>
              <a:cs typeface="+mn-cs"/>
            </a:rPr>
            <a:t>Vet Medicine/Drugs:  </a:t>
          </a:r>
          <a:r>
            <a:rPr lang="en-US" sz="1100" b="0" baseline="0">
              <a:solidFill>
                <a:schemeClr val="dk1"/>
              </a:solidFill>
              <a:effectLst/>
              <a:latin typeface="+mn-lt"/>
              <a:ea typeface="+mn-ea"/>
              <a:cs typeface="+mn-cs"/>
            </a:rPr>
            <a:t>The default assumes this expense is shared equally between parties.</a:t>
          </a:r>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Replacement Females: </a:t>
          </a:r>
          <a:r>
            <a:rPr lang="en-US" sz="1100" b="0" baseline="0">
              <a:solidFill>
                <a:schemeClr val="dk1"/>
              </a:solidFill>
              <a:effectLst/>
              <a:latin typeface="+mn-lt"/>
              <a:ea typeface="+mn-ea"/>
              <a:cs typeface="+mn-cs"/>
            </a:rPr>
            <a:t>The Cattle Owner will be purchasing bred heifers for replacements and expenses will be applied equal to the replacement rate (default is 16%).</a:t>
          </a:r>
        </a:p>
        <a:p>
          <a:pPr eaLnBrk="1" fontAlgn="auto" latinLnBrk="0" hangingPunct="1"/>
          <a:r>
            <a:rPr lang="en-US" sz="1100" b="1" baseline="0">
              <a:solidFill>
                <a:schemeClr val="dk1"/>
              </a:solidFill>
              <a:effectLst/>
              <a:latin typeface="+mn-lt"/>
              <a:ea typeface="+mn-ea"/>
              <a:cs typeface="+mn-cs"/>
            </a:rPr>
            <a:t>Bull Charge or A.I.: </a:t>
          </a:r>
          <a:r>
            <a:rPr lang="en-US" sz="1100" b="0" baseline="0">
              <a:solidFill>
                <a:schemeClr val="dk1"/>
              </a:solidFill>
              <a:effectLst/>
              <a:latin typeface="+mn-lt"/>
              <a:ea typeface="+mn-ea"/>
              <a:cs typeface="+mn-cs"/>
            </a:rPr>
            <a:t>Default assumes straight-line depreciation on a $6,000 bull with a $1,700 salvage value and 4 year useful life.  4% is applied per cow which is defaulted as an expense to the Cattle Owner.</a:t>
          </a: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Other Livestock Breeding/Marketing: </a:t>
          </a:r>
          <a:r>
            <a:rPr lang="en-US" sz="1100" b="0" baseline="0">
              <a:solidFill>
                <a:schemeClr val="dk1"/>
              </a:solidFill>
              <a:effectLst/>
              <a:latin typeface="+mn-lt"/>
              <a:ea typeface="+mn-ea"/>
              <a:cs typeface="+mn-cs"/>
            </a:rPr>
            <a:t>This includes trucking, sale commissions, and other expenses.  If the Cattle Owner will be contributing some of these costs, adjust percentages accordingly.  </a:t>
          </a:r>
          <a:endParaRPr lang="en-US" sz="1100" b="1" baseline="0">
            <a:solidFill>
              <a:srgbClr val="FF0000"/>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Utilities, Gas, Fuel, Oil. Machinery, Facility/Equip. Repairs: </a:t>
          </a:r>
          <a:r>
            <a:rPr lang="en-US" sz="1100" b="0" baseline="0">
              <a:solidFill>
                <a:schemeClr val="dk1"/>
              </a:solidFill>
              <a:effectLst/>
              <a:latin typeface="+mn-lt"/>
              <a:ea typeface="+mn-ea"/>
              <a:cs typeface="+mn-cs"/>
            </a:rPr>
            <a:t>Default assumes the Livestock Operator will be providing all equipment, machinery and buildings, therefore will contribute all of these expenses.  </a:t>
          </a:r>
        </a:p>
        <a:p>
          <a:pPr eaLnBrk="1" fontAlgn="auto" latinLnBrk="0" hangingPunct="1"/>
          <a:r>
            <a:rPr lang="en-US" sz="1100" b="1" baseline="0">
              <a:solidFill>
                <a:schemeClr val="dk1"/>
              </a:solidFill>
              <a:effectLst/>
              <a:latin typeface="+mn-lt"/>
              <a:ea typeface="+mn-ea"/>
              <a:cs typeface="+mn-cs"/>
            </a:rPr>
            <a:t>Other Variable Costs: </a:t>
          </a:r>
          <a:r>
            <a:rPr lang="en-US" sz="1100" b="0" baseline="0">
              <a:solidFill>
                <a:schemeClr val="dk1"/>
              </a:solidFill>
              <a:effectLst/>
              <a:latin typeface="+mn-lt"/>
              <a:ea typeface="+mn-ea"/>
              <a:cs typeface="+mn-cs"/>
            </a:rPr>
            <a:t>Covers any other variable costs not captured above.  Default splits costs equally between parties.</a:t>
          </a:r>
        </a:p>
        <a:p>
          <a:pPr eaLnBrk="1" fontAlgn="auto" latinLnBrk="0" hangingPunct="1"/>
          <a:endParaRPr lang="en-US" sz="400" b="0" baseline="0">
            <a:solidFill>
              <a:schemeClr val="dk1"/>
            </a:solidFill>
            <a:effectLst/>
            <a:latin typeface="+mn-lt"/>
            <a:ea typeface="+mn-ea"/>
            <a:cs typeface="+mn-cs"/>
          </a:endParaRPr>
        </a:p>
        <a:p>
          <a:pPr eaLnBrk="1" fontAlgn="auto" latinLnBrk="0" hangingPunct="1"/>
          <a:r>
            <a:rPr lang="en-US" sz="1100" u="sng" baseline="0">
              <a:solidFill>
                <a:schemeClr val="dk1"/>
              </a:solidFill>
              <a:effectLst/>
              <a:latin typeface="+mn-lt"/>
              <a:ea typeface="+mn-ea"/>
              <a:cs typeface="+mn-cs"/>
            </a:rPr>
            <a:t>Fixed Costs</a:t>
          </a:r>
          <a:endParaRPr lang="en-US">
            <a:effectLst/>
          </a:endParaRPr>
        </a:p>
        <a:p>
          <a:r>
            <a:rPr lang="en-US" sz="1100" b="1" baseline="0">
              <a:solidFill>
                <a:schemeClr val="dk1"/>
              </a:solidFill>
              <a:effectLst/>
              <a:latin typeface="+mn-lt"/>
              <a:ea typeface="+mn-ea"/>
              <a:cs typeface="+mn-cs"/>
            </a:rPr>
            <a:t>Cattle Ownership Interest: </a:t>
          </a:r>
          <a:r>
            <a:rPr lang="en-US" sz="1100" b="0" baseline="0">
              <a:solidFill>
                <a:schemeClr val="dk1"/>
              </a:solidFill>
              <a:effectLst/>
              <a:latin typeface="+mn-lt"/>
              <a:ea typeface="+mn-ea"/>
              <a:cs typeface="+mn-cs"/>
            </a:rPr>
            <a:t>This represents the return to the capital tied up in the cowherd.  The average value of a cow multiplied by a return that could be made on investing that capital elsewhere is charged and considered a contributed expense by the Cattle Owner.  If the Livestock Operator owns some cows in the agreement or is transitioning to ownership of the cowherd, the percentages contributed will need to be adjusted.</a:t>
          </a:r>
        </a:p>
        <a:p>
          <a:r>
            <a:rPr lang="en-US" sz="1100" b="1" baseline="0">
              <a:solidFill>
                <a:schemeClr val="dk1"/>
              </a:solidFill>
              <a:effectLst/>
              <a:latin typeface="+mn-lt"/>
              <a:ea typeface="+mn-ea"/>
              <a:cs typeface="+mn-cs"/>
            </a:rPr>
            <a:t>Cow Death Loss: </a:t>
          </a:r>
          <a:r>
            <a:rPr lang="en-US" sz="1100" b="0" baseline="0">
              <a:solidFill>
                <a:schemeClr val="dk1"/>
              </a:solidFill>
              <a:effectLst/>
              <a:latin typeface="+mn-lt"/>
              <a:ea typeface="+mn-ea"/>
              <a:cs typeface="+mn-cs"/>
            </a:rPr>
            <a:t>Calf death loss is already captured in Weaning Percentage, so this represents cow death loss only (as a percentage of average cow value).  It is applied in the same percentages as ownership interest.</a:t>
          </a:r>
        </a:p>
        <a:p>
          <a:r>
            <a:rPr lang="en-US" sz="1100" b="1" baseline="0">
              <a:solidFill>
                <a:schemeClr val="dk1"/>
              </a:solidFill>
              <a:effectLst/>
              <a:latin typeface="+mn-lt"/>
              <a:ea typeface="+mn-ea"/>
              <a:cs typeface="+mn-cs"/>
            </a:rPr>
            <a:t>Cow Depreciation: </a:t>
          </a:r>
          <a:r>
            <a:rPr lang="en-US" sz="1100" b="0" baseline="0">
              <a:solidFill>
                <a:schemeClr val="dk1"/>
              </a:solidFill>
              <a:effectLst/>
              <a:latin typeface="+mn-lt"/>
              <a:ea typeface="+mn-ea"/>
              <a:cs typeface="+mn-cs"/>
            </a:rPr>
            <a:t>In the default example the cattle owner is purchasing replacements, which maintains the cowherd at a constant age overtime; therefore no depreciation is charged.  If replacement heifer cost is not included in the arrangement, the cattle owner should charge depreciation.</a:t>
          </a:r>
        </a:p>
      </xdr:txBody>
    </xdr:sp>
    <xdr:clientData/>
  </xdr:twoCellAnchor>
  <xdr:twoCellAnchor>
    <xdr:from>
      <xdr:col>0</xdr:col>
      <xdr:colOff>0</xdr:colOff>
      <xdr:row>130</xdr:row>
      <xdr:rowOff>187902</xdr:rowOff>
    </xdr:from>
    <xdr:to>
      <xdr:col>9</xdr:col>
      <xdr:colOff>702470</xdr:colOff>
      <xdr:row>131</xdr:row>
      <xdr:rowOff>744682</xdr:rowOff>
    </xdr:to>
    <xdr:sp macro="" textlink="">
      <xdr:nvSpPr>
        <xdr:cNvPr id="4" name="TextBox 3"/>
        <xdr:cNvSpPr txBox="1"/>
      </xdr:nvSpPr>
      <xdr:spPr>
        <a:xfrm>
          <a:off x="0" y="25924452"/>
          <a:ext cx="6607970" cy="747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685800" algn="l"/>
              <a:tab pos="1371600" algn="l"/>
              <a:tab pos="1828800" algn="l"/>
              <a:tab pos="2286000" algn="l"/>
            </a:tabLst>
          </a:pPr>
          <a:r>
            <a:rPr lang="en-US" sz="1000"/>
            <a:t>				</a:t>
          </a:r>
          <a:r>
            <a:rPr lang="en-US" sz="1000" u="sng"/>
            <a:t>Contributors:</a:t>
          </a:r>
        </a:p>
        <a:p>
          <a:pPr>
            <a:tabLst>
              <a:tab pos="685800" algn="l"/>
              <a:tab pos="1371600" algn="l"/>
              <a:tab pos="1828800" algn="l"/>
              <a:tab pos="2286000" algn="l"/>
            </a:tabLst>
          </a:pPr>
          <a:r>
            <a:rPr lang="en-US" sz="1000"/>
            <a:t>Glynn</a:t>
          </a:r>
          <a:r>
            <a:rPr lang="en-US" sz="1000" baseline="0"/>
            <a:t> Tonsor	               		Robin Reid		The K-State Beef Team</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Associate</a:t>
          </a:r>
          <a:r>
            <a:rPr lang="en-US" sz="1000" baseline="0"/>
            <a:t> Professor	</a:t>
          </a:r>
          <a:r>
            <a:rPr lang="en-US" sz="1000"/>
            <a:t>Extension Associate	</a:t>
          </a:r>
          <a:r>
            <a:rPr lang="en-US" sz="1000" baseline="0"/>
            <a:t>www.KSUBeef.org</a:t>
          </a:r>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t>KSU-Agricultural Economics</a:t>
          </a:r>
          <a:r>
            <a:rPr lang="en-US" sz="1000" baseline="0"/>
            <a:t>            	</a:t>
          </a:r>
          <a:r>
            <a:rPr lang="en-US" sz="1000">
              <a:solidFill>
                <a:schemeClr val="dk1"/>
              </a:solidFill>
              <a:effectLst/>
              <a:latin typeface="+mn-lt"/>
              <a:ea typeface="+mn-ea"/>
              <a:cs typeface="+mn-cs"/>
            </a:rPr>
            <a:t>KSU-Agricultural Economics</a:t>
          </a:r>
          <a:r>
            <a:rPr lang="en-US" sz="1000" baseline="0">
              <a:solidFill>
                <a:schemeClr val="dk1"/>
              </a:solidFill>
              <a:effectLst/>
              <a:latin typeface="+mn-lt"/>
              <a:ea typeface="+mn-ea"/>
              <a:cs typeface="+mn-cs"/>
            </a:rPr>
            <a:t>             </a:t>
          </a:r>
          <a:endParaRPr lang="en-US" sz="1000">
            <a:effectLst/>
          </a:endParaRPr>
        </a:p>
        <a:p>
          <a:endParaRPr lang="en-US" sz="1000"/>
        </a:p>
      </xdr:txBody>
    </xdr:sp>
    <xdr:clientData/>
  </xdr:twoCellAnchor>
  <xdr:twoCellAnchor>
    <xdr:from>
      <xdr:col>0</xdr:col>
      <xdr:colOff>17318</xdr:colOff>
      <xdr:row>96</xdr:row>
      <xdr:rowOff>8659</xdr:rowOff>
    </xdr:from>
    <xdr:to>
      <xdr:col>9</xdr:col>
      <xdr:colOff>961159</xdr:colOff>
      <xdr:row>100</xdr:row>
      <xdr:rowOff>51954</xdr:rowOff>
    </xdr:to>
    <xdr:sp macro="" textlink="">
      <xdr:nvSpPr>
        <xdr:cNvPr id="5" name="TextBox 4"/>
        <xdr:cNvSpPr txBox="1"/>
      </xdr:nvSpPr>
      <xdr:spPr>
        <a:xfrm>
          <a:off x="17318" y="19673454"/>
          <a:ext cx="6849341" cy="18184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Fixed Costs (continued)</a:t>
          </a:r>
          <a:endParaRPr lang="en-US">
            <a:effectLst/>
          </a:endParaRPr>
        </a:p>
        <a:p>
          <a:pPr eaLnBrk="1" fontAlgn="auto" latinLnBrk="0" hangingPunct="1"/>
          <a:r>
            <a:rPr lang="en-US" sz="1100" b="1" baseline="0">
              <a:solidFill>
                <a:schemeClr val="dk1"/>
              </a:solidFill>
              <a:effectLst/>
              <a:latin typeface="+mn-lt"/>
              <a:ea typeface="+mn-ea"/>
              <a:cs typeface="+mn-cs"/>
            </a:rPr>
            <a:t>Equipment/Building Depreciation, Real Estate Tax</a:t>
          </a:r>
          <a:r>
            <a:rPr lang="en-US" sz="1100" b="0" baseline="0">
              <a:solidFill>
                <a:schemeClr val="dk1"/>
              </a:solidFill>
              <a:effectLst/>
              <a:latin typeface="+mn-lt"/>
              <a:ea typeface="+mn-ea"/>
              <a:cs typeface="+mn-cs"/>
            </a:rPr>
            <a:t>: Assumes Livestock Operator is contributing these expenses.</a:t>
          </a:r>
          <a:endParaRPr lang="en-US">
            <a:effectLst/>
          </a:endParaRPr>
        </a:p>
        <a:p>
          <a:pPr eaLnBrk="1" fontAlgn="auto" latinLnBrk="0" hangingPunct="1"/>
          <a:r>
            <a:rPr lang="en-US" sz="1100" b="1" baseline="0">
              <a:solidFill>
                <a:schemeClr val="dk1"/>
              </a:solidFill>
              <a:effectLst/>
              <a:latin typeface="+mn-lt"/>
              <a:ea typeface="+mn-ea"/>
              <a:cs typeface="+mn-cs"/>
            </a:rPr>
            <a:t>Farm/Livestock Insurance: </a:t>
          </a:r>
          <a:r>
            <a:rPr lang="en-US" sz="1100" b="0" baseline="0">
              <a:solidFill>
                <a:schemeClr val="dk1"/>
              </a:solidFill>
              <a:effectLst/>
              <a:latin typeface="+mn-lt"/>
              <a:ea typeface="+mn-ea"/>
              <a:cs typeface="+mn-cs"/>
            </a:rPr>
            <a:t>Cost is split assuming the Cattle Owner insures the cattle and the Livestock Operator insures the property housing the cattle.</a:t>
          </a:r>
          <a:endParaRPr lang="en-US">
            <a:effectLst/>
          </a:endParaRPr>
        </a:p>
        <a:p>
          <a:pPr eaLnBrk="1" fontAlgn="auto" latinLnBrk="0" hangingPunct="1"/>
          <a:r>
            <a:rPr lang="en-US" sz="1100" b="1" baseline="0">
              <a:solidFill>
                <a:schemeClr val="dk1"/>
              </a:solidFill>
              <a:effectLst/>
              <a:latin typeface="+mn-lt"/>
              <a:ea typeface="+mn-ea"/>
              <a:cs typeface="+mn-cs"/>
            </a:rPr>
            <a:t>Other Fixed Costs: </a:t>
          </a:r>
          <a:r>
            <a:rPr lang="en-US" sz="1100" b="0" baseline="0">
              <a:solidFill>
                <a:schemeClr val="dk1"/>
              </a:solidFill>
              <a:effectLst/>
              <a:latin typeface="+mn-lt"/>
              <a:ea typeface="+mn-ea"/>
              <a:cs typeface="+mn-cs"/>
            </a:rPr>
            <a:t>Placeholder for any costs not captured elsewhere.</a:t>
          </a:r>
        </a:p>
        <a:p>
          <a:pPr eaLnBrk="1" fontAlgn="auto" latinLnBrk="0" hangingPunct="1"/>
          <a:endParaRPr lang="en-US" sz="400">
            <a:effectLst/>
          </a:endParaRPr>
        </a:p>
        <a:p>
          <a:pPr eaLnBrk="1" fontAlgn="auto" latinLnBrk="0" hangingPunct="1"/>
          <a:r>
            <a:rPr lang="en-US" sz="1100" u="sng" baseline="0">
              <a:solidFill>
                <a:schemeClr val="dk1"/>
              </a:solidFill>
              <a:effectLst/>
              <a:latin typeface="+mn-lt"/>
              <a:ea typeface="+mn-ea"/>
              <a:cs typeface="+mn-cs"/>
            </a:rPr>
            <a:t>Results</a:t>
          </a:r>
          <a:endParaRPr lang="en-US">
            <a:effectLst/>
          </a:endParaRPr>
        </a:p>
        <a:p>
          <a:pPr eaLnBrk="1" fontAlgn="auto" latinLnBrk="0" hangingPunct="1"/>
          <a:r>
            <a:rPr lang="en-US" sz="1100" b="1" baseline="0">
              <a:solidFill>
                <a:schemeClr val="dk1"/>
              </a:solidFill>
              <a:effectLst/>
              <a:latin typeface="+mn-lt"/>
              <a:ea typeface="+mn-ea"/>
              <a:cs typeface="+mn-cs"/>
            </a:rPr>
            <a:t>Expenses Contributed less Cull Cow and Other Income</a:t>
          </a:r>
          <a:r>
            <a:rPr lang="en-US" sz="1100" b="0" baseline="0">
              <a:solidFill>
                <a:schemeClr val="dk1"/>
              </a:solidFill>
              <a:effectLst/>
              <a:latin typeface="+mn-lt"/>
              <a:ea typeface="+mn-ea"/>
              <a:cs typeface="+mn-cs"/>
            </a:rPr>
            <a:t>: This is the total contribution by each party adjusted for income other than weaned calf sales</a:t>
          </a:r>
          <a:endParaRPr lang="en-US">
            <a:effectLst/>
          </a:endParaRPr>
        </a:p>
        <a:p>
          <a:pPr eaLnBrk="1" fontAlgn="auto" latinLnBrk="0" hangingPunct="1"/>
          <a:r>
            <a:rPr lang="en-US" sz="1100" b="1" baseline="0">
              <a:solidFill>
                <a:schemeClr val="dk1"/>
              </a:solidFill>
              <a:effectLst/>
              <a:latin typeface="+mn-lt"/>
              <a:ea typeface="+mn-ea"/>
              <a:cs typeface="+mn-cs"/>
            </a:rPr>
            <a:t>Percentage of calves to split: </a:t>
          </a:r>
          <a:r>
            <a:rPr lang="en-US" sz="1100" b="0" baseline="0">
              <a:solidFill>
                <a:schemeClr val="dk1"/>
              </a:solidFill>
              <a:effectLst/>
              <a:latin typeface="+mn-lt"/>
              <a:ea typeface="+mn-ea"/>
              <a:cs typeface="+mn-cs"/>
            </a:rPr>
            <a:t>Calculated by taking the line item above, divided by the total  of both party's contributions less cull cow and other income </a:t>
          </a:r>
          <a:endParaRPr lang="en-US">
            <a:effectLst/>
          </a:endParaRPr>
        </a:p>
        <a:p>
          <a:r>
            <a:rPr lang="en-US" sz="1100" b="1" baseline="0">
              <a:solidFill>
                <a:schemeClr val="dk1"/>
              </a:solidFill>
              <a:effectLst/>
              <a:latin typeface="+mn-lt"/>
              <a:ea typeface="+mn-ea"/>
              <a:cs typeface="+mn-cs"/>
            </a:rPr>
            <a:t>Anticipated Income per cow: </a:t>
          </a:r>
          <a:r>
            <a:rPr lang="en-US" sz="1100" b="0" baseline="0">
              <a:solidFill>
                <a:schemeClr val="dk1"/>
              </a:solidFill>
              <a:effectLst/>
              <a:latin typeface="+mn-lt"/>
              <a:ea typeface="+mn-ea"/>
              <a:cs typeface="+mn-cs"/>
            </a:rPr>
            <a:t>Takes the above percentages and multiplies by weaned calf income.  This could be considered a cash lease value, however, a risk premium should be considered since the Cattle Owner would no longer be sharing in production and price risk.  </a:t>
          </a:r>
          <a:endParaRPr lang="en-US" sz="1100"/>
        </a:p>
      </xdr:txBody>
    </xdr:sp>
    <xdr:clientData/>
  </xdr:twoCellAnchor>
  <mc:AlternateContent xmlns:mc="http://schemas.openxmlformats.org/markup-compatibility/2006">
    <mc:Choice xmlns:a14="http://schemas.microsoft.com/office/drawing/2010/main" Requires="a14">
      <xdr:twoCellAnchor>
        <xdr:from>
          <xdr:col>14</xdr:col>
          <xdr:colOff>352425</xdr:colOff>
          <xdr:row>1</xdr:row>
          <xdr:rowOff>19050</xdr:rowOff>
        </xdr:from>
        <xdr:to>
          <xdr:col>18</xdr:col>
          <xdr:colOff>590550</xdr:colOff>
          <xdr:row>3</xdr:row>
          <xdr:rowOff>66675</xdr:rowOff>
        </xdr:to>
        <xdr:sp macro="" textlink="">
          <xdr:nvSpPr>
            <xdr:cNvPr id="18438" name="Button 6" hidden="1">
              <a:extLst>
                <a:ext uri="{63B3BB69-23CF-44E3-9099-C40C66FF867C}">
                  <a14:compatExt spid="_x0000_s1843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rPr>
                <a:t>Print 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342900</xdr:colOff>
          <xdr:row>4</xdr:row>
          <xdr:rowOff>95250</xdr:rowOff>
        </xdr:from>
        <xdr:to>
          <xdr:col>18</xdr:col>
          <xdr:colOff>600075</xdr:colOff>
          <xdr:row>6</xdr:row>
          <xdr:rowOff>142875</xdr:rowOff>
        </xdr:to>
        <xdr:sp macro="" textlink="">
          <xdr:nvSpPr>
            <xdr:cNvPr id="18439" name="Button 7" hidden="1">
              <a:extLst>
                <a:ext uri="{63B3BB69-23CF-44E3-9099-C40C66FF867C}">
                  <a14:compatExt spid="_x0000_s1843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0" i="0" u="none" strike="noStrike" baseline="0">
                  <a:solidFill>
                    <a:srgbClr val="000000"/>
                  </a:solidFill>
                  <a:latin typeface="Calibri"/>
                </a:rPr>
                <a:t>Print Full Worksheet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inreid@ksu.edu" TargetMode="External"/><Relationship Id="rId1" Type="http://schemas.openxmlformats.org/officeDocument/2006/relationships/hyperlink" Target="mailto:gtonsor@k-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usda.gov/oce/commodity/projection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B1:X57"/>
  <sheetViews>
    <sheetView showGridLines="0" tabSelected="1" zoomScale="92" zoomScaleNormal="100" workbookViewId="0">
      <selection activeCell="O25" sqref="O25"/>
    </sheetView>
  </sheetViews>
  <sheetFormatPr defaultRowHeight="12.75" x14ac:dyDescent="0.2"/>
  <cols>
    <col min="1" max="1" width="3.5703125" style="89" customWidth="1"/>
    <col min="2" max="4" width="9.140625" style="89"/>
    <col min="5" max="5" width="9" style="89" customWidth="1"/>
    <col min="6" max="11" width="9.140625" style="89"/>
    <col min="12" max="12" width="23.28515625" style="89" customWidth="1"/>
    <col min="13" max="13" width="3.7109375" style="89" customWidth="1"/>
    <col min="14" max="16384" width="9.140625" style="89"/>
  </cols>
  <sheetData>
    <row r="1" spans="2:24" ht="10.5" customHeight="1" thickBot="1" x14ac:dyDescent="0.25"/>
    <row r="2" spans="2:24" ht="7.5" customHeight="1" x14ac:dyDescent="0.25">
      <c r="B2" s="90"/>
      <c r="C2" s="91"/>
      <c r="D2" s="91"/>
      <c r="E2" s="91"/>
      <c r="F2" s="91"/>
      <c r="G2" s="91"/>
      <c r="H2" s="91"/>
      <c r="I2" s="91"/>
      <c r="J2" s="91"/>
      <c r="K2" s="91"/>
      <c r="L2" s="92"/>
    </row>
    <row r="3" spans="2:24" ht="26.25" x14ac:dyDescent="0.4">
      <c r="B3" s="93" t="s">
        <v>127</v>
      </c>
      <c r="C3" s="94"/>
      <c r="D3" s="94"/>
      <c r="E3" s="94"/>
      <c r="F3" s="94"/>
      <c r="G3" s="94"/>
      <c r="H3" s="95"/>
      <c r="I3" s="95"/>
      <c r="J3" s="96"/>
      <c r="K3" s="96"/>
      <c r="L3" s="97"/>
    </row>
    <row r="4" spans="2:24" ht="18" customHeight="1" x14ac:dyDescent="0.3">
      <c r="B4" s="98"/>
      <c r="C4" s="99"/>
      <c r="D4" s="100"/>
      <c r="E4" s="100"/>
      <c r="F4" s="101"/>
      <c r="G4" s="101"/>
      <c r="H4" s="95"/>
      <c r="I4" s="95"/>
      <c r="J4" s="96"/>
      <c r="K4" s="96"/>
      <c r="L4" s="97"/>
    </row>
    <row r="5" spans="2:24" ht="15.75" customHeight="1" x14ac:dyDescent="0.25">
      <c r="B5" s="217" t="s">
        <v>128</v>
      </c>
      <c r="C5" s="218"/>
      <c r="D5" s="218"/>
      <c r="E5" s="218"/>
      <c r="F5" s="218"/>
      <c r="G5" s="218"/>
      <c r="H5" s="218"/>
      <c r="I5" s="218"/>
      <c r="J5" s="96"/>
      <c r="K5" s="96"/>
      <c r="L5" s="97"/>
      <c r="N5" s="220"/>
      <c r="O5" s="221"/>
      <c r="P5" s="221"/>
      <c r="Q5" s="221"/>
      <c r="R5" s="221"/>
      <c r="S5" s="221"/>
      <c r="T5" s="221"/>
      <c r="U5" s="221"/>
      <c r="V5" s="221"/>
      <c r="W5" s="221"/>
      <c r="X5" s="221"/>
    </row>
    <row r="6" spans="2:24" ht="15.75" x14ac:dyDescent="0.25">
      <c r="B6" s="219"/>
      <c r="C6" s="218"/>
      <c r="D6" s="218"/>
      <c r="E6" s="218"/>
      <c r="F6" s="218"/>
      <c r="G6" s="218"/>
      <c r="H6" s="218"/>
      <c r="I6" s="218"/>
      <c r="J6" s="96"/>
      <c r="K6" s="96"/>
      <c r="L6" s="97"/>
      <c r="N6" s="221"/>
      <c r="O6" s="221"/>
      <c r="P6" s="221"/>
      <c r="Q6" s="221"/>
      <c r="R6" s="221"/>
      <c r="S6" s="221"/>
      <c r="T6" s="221"/>
      <c r="U6" s="221"/>
      <c r="V6" s="221"/>
      <c r="W6" s="221"/>
      <c r="X6" s="221"/>
    </row>
    <row r="7" spans="2:24" ht="5.25" customHeight="1" x14ac:dyDescent="0.25">
      <c r="B7" s="102"/>
      <c r="C7" s="103"/>
      <c r="D7" s="103"/>
      <c r="E7" s="103"/>
      <c r="F7" s="103"/>
      <c r="G7" s="103"/>
      <c r="H7" s="103"/>
      <c r="I7" s="96"/>
      <c r="J7" s="96"/>
      <c r="K7" s="104"/>
      <c r="L7" s="105"/>
    </row>
    <row r="8" spans="2:24" ht="13.5" customHeight="1" thickBot="1" x14ac:dyDescent="0.3">
      <c r="B8" s="106"/>
      <c r="C8" s="222"/>
      <c r="D8" s="223"/>
      <c r="E8" s="224"/>
      <c r="F8" s="225"/>
      <c r="G8" s="107"/>
      <c r="H8" s="107"/>
      <c r="I8" s="107"/>
      <c r="J8" s="107"/>
      <c r="K8" s="108"/>
      <c r="L8" s="109" t="s">
        <v>81</v>
      </c>
      <c r="N8" s="226"/>
    </row>
    <row r="9" spans="2:24" ht="9.75" customHeight="1" x14ac:dyDescent="0.25">
      <c r="B9" s="110"/>
      <c r="C9" s="110"/>
      <c r="D9" s="110"/>
      <c r="E9" s="110"/>
      <c r="F9" s="110"/>
      <c r="G9" s="111"/>
      <c r="H9" s="110"/>
      <c r="I9" s="110"/>
      <c r="J9" s="110"/>
      <c r="K9" s="110"/>
      <c r="L9" s="110"/>
      <c r="N9" s="226"/>
    </row>
    <row r="28" spans="2:12" ht="15.75" x14ac:dyDescent="0.25">
      <c r="B28" s="112" t="s">
        <v>82</v>
      </c>
      <c r="C28" s="113"/>
      <c r="D28" s="113"/>
      <c r="E28" s="113"/>
      <c r="F28" s="114"/>
      <c r="G28" s="114"/>
      <c r="H28" s="114"/>
      <c r="I28" s="114"/>
      <c r="J28" s="114"/>
      <c r="K28" s="114"/>
      <c r="L28" s="114"/>
    </row>
    <row r="29" spans="2:12" x14ac:dyDescent="0.2">
      <c r="B29" s="227" t="s">
        <v>143</v>
      </c>
      <c r="C29" s="227"/>
      <c r="D29" s="227"/>
      <c r="E29" s="227"/>
      <c r="F29" s="227"/>
      <c r="G29" s="227"/>
      <c r="H29" s="227"/>
      <c r="I29" s="227"/>
      <c r="J29" s="227"/>
      <c r="K29" s="227"/>
      <c r="L29" s="227"/>
    </row>
    <row r="30" spans="2:12" ht="54.75" customHeight="1" x14ac:dyDescent="0.2">
      <c r="B30" s="227"/>
      <c r="C30" s="227"/>
      <c r="D30" s="227"/>
      <c r="E30" s="227"/>
      <c r="F30" s="227"/>
      <c r="G30" s="227"/>
      <c r="H30" s="227"/>
      <c r="I30" s="227"/>
      <c r="J30" s="227"/>
      <c r="K30" s="227"/>
      <c r="L30" s="227"/>
    </row>
    <row r="31" spans="2:12" ht="39.75" customHeight="1" x14ac:dyDescent="0.2">
      <c r="B31" s="227" t="s">
        <v>129</v>
      </c>
      <c r="C31" s="227"/>
      <c r="D31" s="227"/>
      <c r="E31" s="227"/>
      <c r="F31" s="227"/>
      <c r="G31" s="227"/>
      <c r="H31" s="227"/>
      <c r="I31" s="227"/>
      <c r="J31" s="227"/>
      <c r="K31" s="227"/>
      <c r="L31" s="227"/>
    </row>
    <row r="32" spans="2:12" ht="19.5" customHeight="1" x14ac:dyDescent="0.25">
      <c r="B32" s="228" t="s">
        <v>83</v>
      </c>
      <c r="C32" s="229"/>
      <c r="D32" s="229"/>
      <c r="E32" s="229"/>
      <c r="F32" s="115"/>
      <c r="G32" s="116"/>
      <c r="H32" s="115"/>
      <c r="I32" s="115"/>
      <c r="J32" s="115"/>
      <c r="K32" s="115"/>
      <c r="L32" s="115"/>
    </row>
    <row r="33" spans="2:12" ht="15.75" customHeight="1" x14ac:dyDescent="0.2">
      <c r="B33" s="230" t="s">
        <v>84</v>
      </c>
      <c r="C33" s="230"/>
      <c r="D33" s="230"/>
      <c r="E33" s="230"/>
      <c r="F33" s="230"/>
      <c r="G33" s="230"/>
      <c r="H33" s="230"/>
      <c r="I33" s="230"/>
      <c r="J33" s="230"/>
      <c r="K33" s="230"/>
      <c r="L33" s="230"/>
    </row>
    <row r="34" spans="2:12" ht="15.75" customHeight="1" x14ac:dyDescent="0.2">
      <c r="B34" s="230"/>
      <c r="C34" s="230"/>
      <c r="D34" s="230"/>
      <c r="E34" s="230"/>
      <c r="F34" s="230"/>
      <c r="G34" s="230"/>
      <c r="H34" s="230"/>
      <c r="I34" s="230"/>
      <c r="J34" s="230"/>
      <c r="K34" s="230"/>
      <c r="L34" s="230"/>
    </row>
    <row r="35" spans="2:12" ht="6.75" customHeight="1" x14ac:dyDescent="0.2">
      <c r="C35" s="117"/>
      <c r="D35" s="117"/>
      <c r="E35" s="117"/>
      <c r="F35" s="117"/>
      <c r="G35" s="117"/>
      <c r="H35" s="117"/>
      <c r="I35" s="117"/>
      <c r="J35" s="117"/>
      <c r="K35" s="117"/>
      <c r="L35" s="117"/>
    </row>
    <row r="36" spans="2:12" ht="15.75" customHeight="1" x14ac:dyDescent="0.2">
      <c r="B36" s="230" t="s">
        <v>144</v>
      </c>
      <c r="C36" s="230"/>
      <c r="D36" s="230"/>
      <c r="E36" s="230"/>
      <c r="F36" s="230"/>
      <c r="G36" s="230"/>
      <c r="H36" s="230"/>
      <c r="I36" s="230"/>
      <c r="J36" s="230"/>
      <c r="K36" s="230"/>
      <c r="L36" s="230"/>
    </row>
    <row r="37" spans="2:12" ht="15.75" customHeight="1" x14ac:dyDescent="0.2">
      <c r="B37" s="230"/>
      <c r="C37" s="230"/>
      <c r="D37" s="230"/>
      <c r="E37" s="230"/>
      <c r="F37" s="230"/>
      <c r="G37" s="230"/>
      <c r="H37" s="230"/>
      <c r="I37" s="230"/>
      <c r="J37" s="230"/>
      <c r="K37" s="230"/>
      <c r="L37" s="230"/>
    </row>
    <row r="38" spans="2:12" ht="15.75" customHeight="1" x14ac:dyDescent="0.2">
      <c r="B38" s="230"/>
      <c r="C38" s="230"/>
      <c r="D38" s="230"/>
      <c r="E38" s="230"/>
      <c r="F38" s="230"/>
      <c r="G38" s="230"/>
      <c r="H38" s="230"/>
      <c r="I38" s="230"/>
      <c r="J38" s="230"/>
      <c r="K38" s="230"/>
      <c r="L38" s="230"/>
    </row>
    <row r="39" spans="2:12" ht="15.75" customHeight="1" x14ac:dyDescent="0.2">
      <c r="B39" s="230"/>
      <c r="C39" s="230"/>
      <c r="D39" s="230"/>
      <c r="E39" s="230"/>
      <c r="F39" s="230"/>
      <c r="G39" s="230"/>
      <c r="H39" s="230"/>
      <c r="I39" s="230"/>
      <c r="J39" s="230"/>
      <c r="K39" s="230"/>
      <c r="L39" s="230"/>
    </row>
    <row r="40" spans="2:12" ht="15.75" customHeight="1" x14ac:dyDescent="0.25">
      <c r="B40" s="159"/>
      <c r="C40" s="159"/>
      <c r="D40" s="159"/>
      <c r="E40" s="159"/>
      <c r="F40" s="159"/>
      <c r="G40" s="159"/>
      <c r="H40" s="159"/>
      <c r="I40" s="159"/>
      <c r="J40" s="159"/>
      <c r="K40" s="159"/>
      <c r="L40" s="159"/>
    </row>
    <row r="41" spans="2:12" ht="15.75" x14ac:dyDescent="0.25">
      <c r="B41" s="118" t="s">
        <v>85</v>
      </c>
      <c r="C41" s="114"/>
      <c r="D41" s="115"/>
      <c r="E41" s="115"/>
      <c r="F41" s="115"/>
      <c r="G41" s="115"/>
      <c r="H41" s="115"/>
      <c r="I41" s="115"/>
      <c r="J41" s="115"/>
      <c r="K41" s="115"/>
      <c r="L41" s="115"/>
    </row>
    <row r="42" spans="2:12" ht="18" customHeight="1" x14ac:dyDescent="0.2">
      <c r="B42" s="231" t="s">
        <v>86</v>
      </c>
      <c r="C42" s="231"/>
      <c r="D42" s="231"/>
      <c r="E42" s="231"/>
      <c r="F42" s="231"/>
      <c r="G42" s="231"/>
      <c r="H42" s="231"/>
      <c r="I42" s="231"/>
      <c r="J42" s="231"/>
      <c r="K42" s="231"/>
      <c r="L42" s="231"/>
    </row>
    <row r="43" spans="2:12" ht="12.75" customHeight="1" x14ac:dyDescent="0.2">
      <c r="B43" s="231"/>
      <c r="C43" s="231"/>
      <c r="D43" s="231"/>
      <c r="E43" s="231"/>
      <c r="F43" s="231"/>
      <c r="G43" s="231"/>
      <c r="H43" s="231"/>
      <c r="I43" s="231"/>
      <c r="J43" s="231"/>
      <c r="K43" s="231"/>
      <c r="L43" s="231"/>
    </row>
    <row r="44" spans="2:12" ht="15.75" x14ac:dyDescent="0.25">
      <c r="B44" s="114" t="s">
        <v>87</v>
      </c>
      <c r="C44" s="114"/>
      <c r="D44" s="114"/>
      <c r="E44" s="114"/>
      <c r="F44" s="119"/>
      <c r="G44" s="114" t="s">
        <v>88</v>
      </c>
      <c r="H44" s="114"/>
      <c r="I44" s="114"/>
      <c r="J44" s="114"/>
      <c r="K44" s="114"/>
    </row>
    <row r="45" spans="2:12" ht="15.75" x14ac:dyDescent="0.25">
      <c r="B45" s="114" t="s">
        <v>89</v>
      </c>
      <c r="C45" s="114"/>
      <c r="D45" s="114"/>
      <c r="E45" s="114"/>
      <c r="F45" s="119"/>
      <c r="G45" s="114" t="s">
        <v>90</v>
      </c>
      <c r="H45" s="114"/>
      <c r="I45" s="114"/>
      <c r="J45" s="114"/>
      <c r="K45" s="114"/>
    </row>
    <row r="46" spans="2:12" ht="15.75" x14ac:dyDescent="0.25">
      <c r="B46" s="114" t="s">
        <v>91</v>
      </c>
      <c r="C46" s="114"/>
      <c r="D46" s="114"/>
      <c r="E46" s="114"/>
      <c r="F46" s="114"/>
      <c r="G46" s="114" t="s">
        <v>91</v>
      </c>
      <c r="H46" s="114"/>
      <c r="I46" s="114"/>
      <c r="J46" s="114"/>
      <c r="K46" s="114"/>
    </row>
    <row r="47" spans="2:12" ht="15.75" x14ac:dyDescent="0.25">
      <c r="B47" s="114" t="s">
        <v>92</v>
      </c>
      <c r="C47" s="113"/>
      <c r="D47" s="113"/>
      <c r="E47" s="113"/>
      <c r="F47" s="114"/>
      <c r="G47" s="114" t="s">
        <v>92</v>
      </c>
      <c r="H47" s="114"/>
      <c r="I47" s="114"/>
      <c r="J47" s="114"/>
      <c r="K47" s="114"/>
    </row>
    <row r="48" spans="2:12" ht="15.75" x14ac:dyDescent="0.25">
      <c r="B48" s="120" t="s">
        <v>93</v>
      </c>
      <c r="C48" s="121"/>
      <c r="D48" s="113"/>
      <c r="E48" s="113"/>
      <c r="F48" s="114"/>
      <c r="G48" s="232" t="s">
        <v>94</v>
      </c>
      <c r="H48" s="229"/>
      <c r="I48" s="229"/>
      <c r="J48" s="114"/>
      <c r="K48" s="114"/>
    </row>
    <row r="49" spans="2:12" ht="15.75" x14ac:dyDescent="0.25">
      <c r="B49" s="122" t="s">
        <v>95</v>
      </c>
      <c r="C49" s="115"/>
      <c r="D49" s="114"/>
      <c r="E49" s="114"/>
      <c r="F49" s="114"/>
      <c r="G49" s="122" t="s">
        <v>96</v>
      </c>
      <c r="H49" s="121"/>
      <c r="I49" s="113"/>
      <c r="J49" s="114"/>
      <c r="K49" s="114"/>
    </row>
    <row r="50" spans="2:12" ht="15.75" x14ac:dyDescent="0.25">
      <c r="B50" s="122"/>
      <c r="C50" s="115"/>
      <c r="D50" s="114"/>
      <c r="E50" s="114"/>
      <c r="F50" s="114"/>
      <c r="G50" s="114"/>
      <c r="H50" s="122"/>
      <c r="I50" s="121"/>
      <c r="J50" s="113"/>
      <c r="K50" s="114"/>
      <c r="L50" s="114"/>
    </row>
    <row r="51" spans="2:12" ht="15.75" x14ac:dyDescent="0.25">
      <c r="B51" s="118" t="s">
        <v>97</v>
      </c>
      <c r="C51" s="115"/>
      <c r="D51" s="114"/>
      <c r="E51" s="114"/>
      <c r="F51" s="114"/>
      <c r="G51" s="114"/>
      <c r="H51" s="114"/>
      <c r="I51" s="114"/>
      <c r="J51" s="114"/>
      <c r="K51" s="114"/>
      <c r="L51" s="114"/>
    </row>
    <row r="52" spans="2:12" ht="19.5" customHeight="1" x14ac:dyDescent="0.2">
      <c r="B52" s="230" t="s">
        <v>98</v>
      </c>
      <c r="C52" s="230"/>
      <c r="D52" s="230"/>
      <c r="E52" s="230"/>
      <c r="F52" s="230"/>
      <c r="G52" s="230"/>
      <c r="H52" s="230"/>
      <c r="I52" s="230"/>
      <c r="J52" s="230"/>
      <c r="K52" s="230"/>
      <c r="L52" s="230"/>
    </row>
    <row r="53" spans="2:12" ht="14.25" customHeight="1" x14ac:dyDescent="0.2">
      <c r="B53" s="230"/>
      <c r="C53" s="230"/>
      <c r="D53" s="230"/>
      <c r="E53" s="230"/>
      <c r="F53" s="230"/>
      <c r="G53" s="230"/>
      <c r="H53" s="230"/>
      <c r="I53" s="230"/>
      <c r="J53" s="230"/>
      <c r="K53" s="230"/>
      <c r="L53" s="230"/>
    </row>
    <row r="54" spans="2:12" ht="14.25" customHeight="1" x14ac:dyDescent="0.2">
      <c r="B54" s="230"/>
      <c r="C54" s="230"/>
      <c r="D54" s="230"/>
      <c r="E54" s="230"/>
      <c r="F54" s="230"/>
      <c r="G54" s="230"/>
      <c r="H54" s="230"/>
      <c r="I54" s="230"/>
      <c r="J54" s="230"/>
      <c r="K54" s="230"/>
      <c r="L54" s="230"/>
    </row>
    <row r="55" spans="2:12" ht="14.25" customHeight="1" x14ac:dyDescent="0.2">
      <c r="B55" s="230"/>
      <c r="C55" s="230"/>
      <c r="D55" s="230"/>
      <c r="E55" s="230"/>
      <c r="F55" s="230"/>
      <c r="G55" s="230"/>
      <c r="H55" s="230"/>
      <c r="I55" s="230"/>
      <c r="J55" s="230"/>
      <c r="K55" s="230"/>
      <c r="L55" s="230"/>
    </row>
    <row r="56" spans="2:12" ht="16.5" customHeight="1" x14ac:dyDescent="0.25">
      <c r="B56" s="216" t="s">
        <v>99</v>
      </c>
      <c r="C56" s="216"/>
      <c r="D56" s="216"/>
      <c r="E56" s="216"/>
      <c r="F56" s="216"/>
      <c r="G56" s="216"/>
      <c r="H56" s="216"/>
      <c r="I56" s="216"/>
      <c r="J56" s="216"/>
      <c r="K56" s="216"/>
      <c r="L56" s="123"/>
    </row>
    <row r="57" spans="2:12" ht="15.75" x14ac:dyDescent="0.25">
      <c r="B57" s="123"/>
    </row>
  </sheetData>
  <sheetProtection algorithmName="SHA-512" hashValue="EC9y2a48Rn4+xwuLP4yFPWPMkYGSdmTeT/caNYds/ZM7QNxb33pq+oSDff9t207UGfAx499x00qPmbpsEPT/kQ==" saltValue="z7wzPZqIMLZqGoFYcrDqnQ==" spinCount="100000" sheet="1" objects="1" scenarios="1"/>
  <mergeCells count="14">
    <mergeCell ref="B56:K56"/>
    <mergeCell ref="B5:I6"/>
    <mergeCell ref="N5:X6"/>
    <mergeCell ref="C8:D8"/>
    <mergeCell ref="E8:F8"/>
    <mergeCell ref="N8:N9"/>
    <mergeCell ref="B29:L30"/>
    <mergeCell ref="B32:E32"/>
    <mergeCell ref="B33:L34"/>
    <mergeCell ref="B42:L43"/>
    <mergeCell ref="G48:I48"/>
    <mergeCell ref="B52:L55"/>
    <mergeCell ref="B31:L31"/>
    <mergeCell ref="B36:L39"/>
  </mergeCells>
  <hyperlinks>
    <hyperlink ref="G48" r:id="rId1"/>
    <hyperlink ref="B48" r:id="rId2"/>
  </hyperlinks>
  <printOptions horizontalCentered="1"/>
  <pageMargins left="0.75" right="0.75" top="1" bottom="1" header="0.5" footer="0.5"/>
  <pageSetup scale="74" orientation="portrait" r:id="rId3"/>
  <headerFooter alignWithMargins="0">
    <oddHeader>&amp;R&amp;D</oddHeader>
    <oddFoote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7030A0"/>
    <pageSetUpPr fitToPage="1"/>
  </sheetPr>
  <dimension ref="A1:F22"/>
  <sheetViews>
    <sheetView topLeftCell="A3" zoomScale="90" zoomScaleNormal="90" workbookViewId="0">
      <selection activeCell="B29" sqref="B29"/>
    </sheetView>
  </sheetViews>
  <sheetFormatPr defaultRowHeight="15" x14ac:dyDescent="0.25"/>
  <cols>
    <col min="1" max="1" width="34.7109375" customWidth="1"/>
    <col min="2" max="2" width="24.140625" bestFit="1" customWidth="1"/>
    <col min="3" max="3" width="19.7109375" bestFit="1" customWidth="1"/>
    <col min="4" max="4" width="46.7109375" hidden="1" customWidth="1"/>
  </cols>
  <sheetData>
    <row r="1" spans="1:6" hidden="1" x14ac:dyDescent="0.25">
      <c r="A1" s="2" t="s">
        <v>80</v>
      </c>
    </row>
    <row r="2" spans="1:6" hidden="1" x14ac:dyDescent="0.25">
      <c r="A2" s="2" t="s">
        <v>37</v>
      </c>
    </row>
    <row r="3" spans="1:6" x14ac:dyDescent="0.25">
      <c r="B3" s="25" t="str">
        <f>A1</f>
        <v>2016 Production Year</v>
      </c>
      <c r="C3" s="32" t="str">
        <f>A2</f>
        <v>Five Years Out Prices</v>
      </c>
      <c r="D3" s="33"/>
    </row>
    <row r="4" spans="1:6" x14ac:dyDescent="0.25">
      <c r="B4" s="69" t="s">
        <v>145</v>
      </c>
      <c r="C4" s="70" t="s">
        <v>146</v>
      </c>
      <c r="D4" s="33"/>
    </row>
    <row r="5" spans="1:6" x14ac:dyDescent="0.25">
      <c r="A5" t="s">
        <v>147</v>
      </c>
      <c r="B5" s="71">
        <v>4.03</v>
      </c>
      <c r="C5" s="72">
        <v>3.7</v>
      </c>
      <c r="D5" s="34" t="s">
        <v>14</v>
      </c>
      <c r="E5" s="22"/>
      <c r="F5" s="22"/>
    </row>
    <row r="6" spans="1:6" x14ac:dyDescent="0.25">
      <c r="A6" t="s">
        <v>148</v>
      </c>
      <c r="B6" s="71">
        <v>392.6</v>
      </c>
      <c r="C6" s="72">
        <v>330</v>
      </c>
      <c r="D6" s="33" t="s">
        <v>14</v>
      </c>
      <c r="E6" s="22"/>
      <c r="F6" s="22"/>
    </row>
    <row r="7" spans="1:6" x14ac:dyDescent="0.25">
      <c r="A7" t="s">
        <v>149</v>
      </c>
      <c r="B7" s="71">
        <v>152.5</v>
      </c>
      <c r="C7" s="72">
        <v>140.01240694789081</v>
      </c>
      <c r="D7" s="33" t="s">
        <v>38</v>
      </c>
      <c r="E7" s="22"/>
      <c r="F7" s="22"/>
    </row>
    <row r="8" spans="1:6" s="22" customFormat="1" x14ac:dyDescent="0.25">
      <c r="B8" s="73"/>
      <c r="C8" s="85"/>
    </row>
    <row r="9" spans="1:6" x14ac:dyDescent="0.25">
      <c r="A9" t="s">
        <v>150</v>
      </c>
      <c r="B9" s="71">
        <v>32.24</v>
      </c>
      <c r="C9" s="72">
        <v>29.6</v>
      </c>
      <c r="D9" s="68" t="s">
        <v>73</v>
      </c>
      <c r="E9" s="22"/>
      <c r="F9" s="22"/>
    </row>
    <row r="10" spans="1:6" x14ac:dyDescent="0.25">
      <c r="A10" t="s">
        <v>151</v>
      </c>
      <c r="B10" s="71">
        <v>65</v>
      </c>
      <c r="C10" s="72">
        <v>59.677419354838712</v>
      </c>
      <c r="D10" s="33" t="s">
        <v>38</v>
      </c>
      <c r="E10" s="22"/>
      <c r="F10" s="22"/>
    </row>
    <row r="11" spans="1:6" x14ac:dyDescent="0.25">
      <c r="A11" t="s">
        <v>152</v>
      </c>
      <c r="B11" s="71">
        <v>110</v>
      </c>
      <c r="C11" s="72">
        <v>100.99255583126551</v>
      </c>
      <c r="D11" s="33" t="s">
        <v>38</v>
      </c>
      <c r="E11" s="22"/>
      <c r="F11" s="22"/>
    </row>
    <row r="12" spans="1:6" x14ac:dyDescent="0.25">
      <c r="A12" t="s">
        <v>153</v>
      </c>
      <c r="B12" s="71">
        <v>19.22</v>
      </c>
      <c r="C12" s="72">
        <v>21.141999999999999</v>
      </c>
      <c r="D12" s="33" t="s">
        <v>34</v>
      </c>
      <c r="E12" s="22"/>
      <c r="F12" s="22"/>
    </row>
    <row r="13" spans="1:6" x14ac:dyDescent="0.25">
      <c r="A13" t="s">
        <v>154</v>
      </c>
      <c r="B13" s="71">
        <v>15</v>
      </c>
      <c r="C13" s="72">
        <v>16.5</v>
      </c>
      <c r="D13" s="33" t="s">
        <v>34</v>
      </c>
      <c r="E13" s="22"/>
      <c r="F13" s="22"/>
    </row>
    <row r="14" spans="1:6" x14ac:dyDescent="0.25">
      <c r="A14" t="s">
        <v>155</v>
      </c>
      <c r="B14" s="71">
        <v>800</v>
      </c>
      <c r="C14" s="72">
        <v>880.00000000000011</v>
      </c>
      <c r="D14" s="33" t="s">
        <v>34</v>
      </c>
      <c r="E14" s="22"/>
      <c r="F14" s="22"/>
    </row>
    <row r="15" spans="1:6" x14ac:dyDescent="0.25">
      <c r="A15" t="s">
        <v>156</v>
      </c>
      <c r="B15" s="71">
        <v>550</v>
      </c>
      <c r="C15" s="72">
        <v>605</v>
      </c>
      <c r="D15" s="33" t="s">
        <v>34</v>
      </c>
      <c r="E15" s="22"/>
      <c r="F15" s="22"/>
    </row>
    <row r="16" spans="1:6" s="22" customFormat="1" x14ac:dyDescent="0.25">
      <c r="B16" s="74"/>
      <c r="C16" s="74"/>
      <c r="D16" s="33"/>
    </row>
    <row r="17" spans="1:6" x14ac:dyDescent="0.25">
      <c r="A17" t="s">
        <v>157</v>
      </c>
      <c r="B17" s="71">
        <v>142.65</v>
      </c>
      <c r="C17" s="72">
        <v>175.44407079646018</v>
      </c>
      <c r="D17" s="33" t="s">
        <v>36</v>
      </c>
      <c r="F17" s="22"/>
    </row>
    <row r="18" spans="1:6" x14ac:dyDescent="0.25">
      <c r="A18" t="s">
        <v>158</v>
      </c>
      <c r="B18" s="71">
        <v>152.55000000000001</v>
      </c>
      <c r="C18" s="72">
        <v>187.62</v>
      </c>
      <c r="D18" s="33" t="s">
        <v>14</v>
      </c>
      <c r="F18" s="22"/>
    </row>
    <row r="19" spans="1:6" x14ac:dyDescent="0.25">
      <c r="A19" t="s">
        <v>159</v>
      </c>
      <c r="B19" s="71">
        <v>80</v>
      </c>
      <c r="C19" s="72">
        <v>85.916376606076227</v>
      </c>
      <c r="D19" s="33" t="s">
        <v>15</v>
      </c>
      <c r="F19" s="22"/>
    </row>
    <row r="20" spans="1:6" x14ac:dyDescent="0.25">
      <c r="B20" s="132"/>
      <c r="C20" s="133"/>
    </row>
    <row r="21" spans="1:6" x14ac:dyDescent="0.25">
      <c r="A21" t="s">
        <v>160</v>
      </c>
      <c r="B21" s="4"/>
    </row>
    <row r="22" spans="1:6" x14ac:dyDescent="0.25">
      <c r="A22" t="s">
        <v>161</v>
      </c>
    </row>
  </sheetData>
  <sheetProtection algorithmName="SHA-512" hashValue="lw2WytEmdWrYnob5XwShvadRYxHF+hCOuEjlSJD6ZiNXopwuyp5ge3c7jRb194AqYauA5eVoyIYlI/G20B/2vw==" saltValue="64OYqxnz/61Dc99Rj/aeKg==" spinCount="100000" sheet="1" objects="1" scenarios="1"/>
  <hyperlinks>
    <hyperlink ref="D5" r:id="rId1"/>
  </hyperlinks>
  <pageMargins left="0.25" right="0.25" top="0.75" bottom="0.75" header="0.3" footer="0.3"/>
  <pageSetup orientation="portrait" horizontalDpi="4294967295" verticalDpi="4294967295"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B1:P30"/>
  <sheetViews>
    <sheetView workbookViewId="0">
      <selection activeCell="W10" sqref="W10"/>
    </sheetView>
  </sheetViews>
  <sheetFormatPr defaultRowHeight="15" x14ac:dyDescent="0.25"/>
  <cols>
    <col min="2" max="2" width="31.140625" customWidth="1"/>
    <col min="3" max="3" width="10.5703125" customWidth="1"/>
    <col min="4" max="5" width="12.28515625" customWidth="1"/>
    <col min="6" max="6" width="15.42578125" customWidth="1"/>
    <col min="9" max="9" width="11.42578125" style="130" hidden="1" customWidth="1"/>
    <col min="10" max="11" width="9.140625" style="130" hidden="1" customWidth="1"/>
    <col min="12" max="12" width="16.28515625" style="130" hidden="1" customWidth="1"/>
    <col min="13" max="15" width="9.140625" style="130" hidden="1" customWidth="1"/>
    <col min="16" max="16" width="12" style="130" hidden="1" customWidth="1"/>
  </cols>
  <sheetData>
    <row r="1" spans="2:16" ht="28.5" x14ac:dyDescent="0.45">
      <c r="B1" s="233" t="s">
        <v>67</v>
      </c>
      <c r="C1" s="233"/>
      <c r="D1" s="233"/>
      <c r="E1" s="233"/>
      <c r="F1" s="233"/>
      <c r="G1" s="233"/>
      <c r="I1" s="237" t="s">
        <v>131</v>
      </c>
      <c r="J1" s="237"/>
      <c r="K1" s="237"/>
      <c r="L1" s="237"/>
      <c r="M1" s="237"/>
      <c r="N1" s="237"/>
      <c r="O1" s="237"/>
      <c r="P1" s="237"/>
    </row>
    <row r="2" spans="2:16" ht="17.25" customHeight="1" thickBot="1" x14ac:dyDescent="0.3"/>
    <row r="3" spans="2:16" ht="36" customHeight="1" thickBot="1" x14ac:dyDescent="0.4">
      <c r="B3" s="142" t="s">
        <v>120</v>
      </c>
      <c r="C3" s="57" t="s">
        <v>49</v>
      </c>
      <c r="D3" s="57"/>
      <c r="E3" s="57"/>
      <c r="F3" s="58"/>
      <c r="I3" s="234" t="s">
        <v>100</v>
      </c>
      <c r="J3" s="235"/>
      <c r="K3" s="235"/>
      <c r="L3" s="235"/>
      <c r="M3" s="235"/>
      <c r="N3" s="235"/>
      <c r="O3" s="235"/>
      <c r="P3" s="236"/>
    </row>
    <row r="4" spans="2:16" ht="30" x14ac:dyDescent="0.25">
      <c r="B4" s="59"/>
      <c r="C4" s="16" t="s">
        <v>17</v>
      </c>
      <c r="D4" s="16" t="s">
        <v>3</v>
      </c>
      <c r="E4" s="29"/>
      <c r="F4" s="60"/>
      <c r="I4" s="134" t="s">
        <v>101</v>
      </c>
      <c r="J4" s="135" t="s">
        <v>102</v>
      </c>
      <c r="K4" s="135" t="s">
        <v>103</v>
      </c>
      <c r="L4" s="135" t="s">
        <v>104</v>
      </c>
      <c r="M4" s="135" t="s">
        <v>105</v>
      </c>
      <c r="N4" s="135" t="s">
        <v>106</v>
      </c>
      <c r="O4" s="135" t="s">
        <v>107</v>
      </c>
      <c r="P4" s="136" t="s">
        <v>108</v>
      </c>
    </row>
    <row r="5" spans="2:16" ht="18" customHeight="1" x14ac:dyDescent="0.25">
      <c r="B5" s="61" t="s">
        <v>21</v>
      </c>
      <c r="C5" s="75">
        <f>O10+(0.04*O19)+(0.16*O28)</f>
        <v>9.5400000000000009</v>
      </c>
      <c r="D5" s="62" t="s">
        <v>64</v>
      </c>
      <c r="E5" s="62"/>
      <c r="F5" s="60"/>
      <c r="I5" s="137" t="s">
        <v>109</v>
      </c>
      <c r="J5" s="128">
        <v>60</v>
      </c>
      <c r="K5" s="128">
        <v>31</v>
      </c>
      <c r="L5" s="128">
        <v>2</v>
      </c>
      <c r="M5" s="128"/>
      <c r="N5" s="128">
        <v>0.25</v>
      </c>
      <c r="O5" s="128"/>
      <c r="P5" s="138"/>
    </row>
    <row r="6" spans="2:16" ht="18" customHeight="1" x14ac:dyDescent="0.25">
      <c r="B6" s="61" t="s">
        <v>63</v>
      </c>
      <c r="C6" s="75">
        <f>P10+(0.04*P19)+(0.16*P28)</f>
        <v>2.08</v>
      </c>
      <c r="D6" s="62" t="s">
        <v>64</v>
      </c>
      <c r="E6" s="62"/>
      <c r="F6" s="60"/>
      <c r="I6" s="137" t="s">
        <v>110</v>
      </c>
      <c r="J6" s="128">
        <v>61</v>
      </c>
      <c r="K6" s="128">
        <v>32</v>
      </c>
      <c r="L6" s="128">
        <v>7</v>
      </c>
      <c r="M6" s="128"/>
      <c r="N6" s="128">
        <v>0.25</v>
      </c>
      <c r="O6" s="128"/>
      <c r="P6" s="138"/>
    </row>
    <row r="7" spans="2:16" ht="18" customHeight="1" x14ac:dyDescent="0.25">
      <c r="B7" s="63" t="s">
        <v>74</v>
      </c>
      <c r="C7" s="76">
        <f>(K10+(0.04*K19)+(0.16*K28))/2000</f>
        <v>2.2483200000000001</v>
      </c>
      <c r="D7" s="62" t="s">
        <v>65</v>
      </c>
      <c r="E7" s="62"/>
      <c r="F7" s="60"/>
      <c r="I7" s="137" t="s">
        <v>111</v>
      </c>
      <c r="J7" s="128">
        <v>183</v>
      </c>
      <c r="K7" s="128"/>
      <c r="L7" s="128"/>
      <c r="M7" s="128"/>
      <c r="N7" s="128">
        <v>0.25</v>
      </c>
      <c r="O7" s="128">
        <v>8.5</v>
      </c>
      <c r="P7" s="138"/>
    </row>
    <row r="8" spans="2:16" ht="18" customHeight="1" x14ac:dyDescent="0.25">
      <c r="B8" s="63" t="s">
        <v>62</v>
      </c>
      <c r="C8" s="76">
        <v>0</v>
      </c>
      <c r="D8" s="62" t="s">
        <v>65</v>
      </c>
      <c r="E8" s="62"/>
      <c r="F8" s="60"/>
      <c r="I8" s="137" t="s">
        <v>112</v>
      </c>
      <c r="J8" s="128">
        <v>61</v>
      </c>
      <c r="K8" s="128"/>
      <c r="L8" s="128">
        <v>3</v>
      </c>
      <c r="M8" s="128"/>
      <c r="N8" s="128">
        <v>0.25</v>
      </c>
      <c r="O8" s="128"/>
      <c r="P8" s="138">
        <v>2</v>
      </c>
    </row>
    <row r="9" spans="2:16" ht="18" customHeight="1" x14ac:dyDescent="0.25">
      <c r="B9" s="63" t="s">
        <v>44</v>
      </c>
      <c r="C9" s="76">
        <v>0</v>
      </c>
      <c r="D9" s="62" t="s">
        <v>65</v>
      </c>
      <c r="E9" s="62"/>
      <c r="F9" s="60"/>
      <c r="I9" s="137"/>
      <c r="J9" s="128"/>
      <c r="K9" s="128"/>
      <c r="L9" s="128"/>
      <c r="M9" s="128"/>
      <c r="N9" s="128"/>
      <c r="O9" s="128"/>
      <c r="P9" s="138"/>
    </row>
    <row r="10" spans="2:16" ht="18" customHeight="1" x14ac:dyDescent="0.25">
      <c r="B10" s="59" t="s">
        <v>61</v>
      </c>
      <c r="C10" s="143">
        <f>SUM(C7:C9)</f>
        <v>2.2483200000000001</v>
      </c>
      <c r="D10" s="62" t="s">
        <v>65</v>
      </c>
      <c r="E10" s="62"/>
      <c r="F10" s="60"/>
      <c r="I10" s="137" t="s">
        <v>113</v>
      </c>
      <c r="J10" s="128">
        <f>SUM(J5:J8)</f>
        <v>365</v>
      </c>
      <c r="K10" s="128">
        <f>SUMPRODUCT($J$5:$J$8,K5:K8)</f>
        <v>3812</v>
      </c>
      <c r="L10" s="128">
        <f>SUMPRODUCT($J$5:$J$8,L5:L8)</f>
        <v>730</v>
      </c>
      <c r="M10" s="128">
        <f>SUMPRODUCT($J$5:$J$8,M5:M8)</f>
        <v>0</v>
      </c>
      <c r="N10" s="128">
        <f>SUMPRODUCT($J$5:$J$8,N5:N8)</f>
        <v>91.25</v>
      </c>
      <c r="O10" s="128">
        <f>SUM(O5:O8)</f>
        <v>8.5</v>
      </c>
      <c r="P10" s="128">
        <f>SUM(P5:P8)</f>
        <v>2</v>
      </c>
    </row>
    <row r="11" spans="2:16" ht="18" customHeight="1" x14ac:dyDescent="0.25">
      <c r="B11" s="63" t="s">
        <v>45</v>
      </c>
      <c r="C11" s="75">
        <f>M10+(0.04*M19)+(0.16*M28)</f>
        <v>95.04</v>
      </c>
      <c r="D11" s="62" t="s">
        <v>66</v>
      </c>
      <c r="E11" s="62"/>
      <c r="F11" s="60"/>
      <c r="I11" s="139"/>
      <c r="J11" s="15" t="s">
        <v>114</v>
      </c>
      <c r="K11" s="15">
        <f>K10/2000</f>
        <v>1.9059999999999999</v>
      </c>
      <c r="L11" s="15"/>
      <c r="M11" s="15"/>
      <c r="N11" s="15"/>
      <c r="O11" s="15"/>
      <c r="P11" s="140"/>
    </row>
    <row r="12" spans="2:16" ht="18" customHeight="1" x14ac:dyDescent="0.25">
      <c r="B12" s="63" t="s">
        <v>46</v>
      </c>
      <c r="C12" s="75">
        <f>L10+(0.04*L19)+(0.16*L28)</f>
        <v>737.54600000000005</v>
      </c>
      <c r="D12" s="62" t="s">
        <v>66</v>
      </c>
      <c r="E12" s="62"/>
      <c r="F12" s="60"/>
    </row>
    <row r="13" spans="2:16" ht="18" customHeight="1" thickBot="1" x14ac:dyDescent="0.4">
      <c r="B13" s="63" t="s">
        <v>47</v>
      </c>
      <c r="C13" s="75">
        <v>0</v>
      </c>
      <c r="D13" s="62" t="s">
        <v>66</v>
      </c>
      <c r="E13" s="62"/>
      <c r="F13" s="60"/>
      <c r="I13" s="234" t="s">
        <v>115</v>
      </c>
      <c r="J13" s="235"/>
      <c r="K13" s="235"/>
      <c r="L13" s="235"/>
      <c r="M13" s="235"/>
      <c r="N13" s="235"/>
      <c r="O13" s="235"/>
      <c r="P13" s="236"/>
    </row>
    <row r="14" spans="2:16" ht="18" customHeight="1" x14ac:dyDescent="0.25">
      <c r="B14" s="59" t="s">
        <v>60</v>
      </c>
      <c r="C14" s="144">
        <f>SUM(C11:C13)</f>
        <v>832.58600000000001</v>
      </c>
      <c r="D14" s="62" t="s">
        <v>66</v>
      </c>
      <c r="E14" s="62"/>
      <c r="F14" s="60"/>
      <c r="I14" s="134" t="s">
        <v>101</v>
      </c>
      <c r="J14" s="135" t="s">
        <v>102</v>
      </c>
      <c r="K14" s="135" t="s">
        <v>103</v>
      </c>
      <c r="L14" s="135" t="s">
        <v>104</v>
      </c>
      <c r="M14" s="135" t="s">
        <v>105</v>
      </c>
      <c r="N14" s="135" t="s">
        <v>106</v>
      </c>
      <c r="O14" s="135" t="s">
        <v>107</v>
      </c>
      <c r="P14" s="136" t="s">
        <v>108</v>
      </c>
    </row>
    <row r="15" spans="2:16" ht="18" customHeight="1" thickBot="1" x14ac:dyDescent="0.3">
      <c r="B15" s="64" t="s">
        <v>39</v>
      </c>
      <c r="C15" s="77">
        <f>N10+(0.04*N19)+(0.16*N28)</f>
        <v>100.74000000000001</v>
      </c>
      <c r="D15" s="65" t="s">
        <v>66</v>
      </c>
      <c r="E15" s="65"/>
      <c r="F15" s="66"/>
      <c r="I15" s="137" t="s">
        <v>116</v>
      </c>
      <c r="J15" s="128">
        <v>121</v>
      </c>
      <c r="K15" s="128">
        <v>40</v>
      </c>
      <c r="L15" s="128">
        <v>0.25</v>
      </c>
      <c r="M15" s="128"/>
      <c r="N15" s="128">
        <v>0.25</v>
      </c>
      <c r="O15" s="128"/>
      <c r="P15" s="138"/>
    </row>
    <row r="16" spans="2:16" x14ac:dyDescent="0.25">
      <c r="C16" s="27"/>
      <c r="D16" s="6"/>
      <c r="E16" s="6"/>
      <c r="I16" s="137" t="s">
        <v>111</v>
      </c>
      <c r="J16" s="128">
        <v>183</v>
      </c>
      <c r="K16" s="128"/>
      <c r="L16" s="128"/>
      <c r="M16" s="128"/>
      <c r="N16" s="128">
        <v>0.25</v>
      </c>
      <c r="O16" s="128">
        <v>8</v>
      </c>
      <c r="P16" s="138"/>
    </row>
    <row r="17" spans="2:16" ht="15.75" thickBot="1" x14ac:dyDescent="0.3">
      <c r="I17" s="137" t="s">
        <v>112</v>
      </c>
      <c r="J17" s="128">
        <v>61</v>
      </c>
      <c r="K17" s="128"/>
      <c r="L17" s="128"/>
      <c r="M17" s="128"/>
      <c r="N17" s="128">
        <v>0.25</v>
      </c>
      <c r="O17" s="128"/>
      <c r="P17" s="138">
        <v>2</v>
      </c>
    </row>
    <row r="18" spans="2:16" ht="33" customHeight="1" thickBot="1" x14ac:dyDescent="0.3">
      <c r="B18" s="142" t="s">
        <v>130</v>
      </c>
      <c r="C18" s="57" t="s">
        <v>49</v>
      </c>
      <c r="D18" s="57"/>
      <c r="E18" s="57"/>
      <c r="F18" s="58"/>
      <c r="I18" s="137"/>
      <c r="J18" s="128"/>
      <c r="K18" s="128"/>
      <c r="L18" s="128"/>
      <c r="M18" s="128"/>
      <c r="N18" s="128"/>
      <c r="O18" s="128"/>
      <c r="P18" s="138"/>
    </row>
    <row r="19" spans="2:16" ht="15.75" customHeight="1" x14ac:dyDescent="0.25">
      <c r="B19" s="59"/>
      <c r="C19" s="16" t="s">
        <v>17</v>
      </c>
      <c r="D19" s="16" t="s">
        <v>3</v>
      </c>
      <c r="E19" s="29"/>
      <c r="F19" s="60"/>
      <c r="I19" s="137" t="s">
        <v>113</v>
      </c>
      <c r="J19" s="128">
        <f>SUM(J15:J17)</f>
        <v>365</v>
      </c>
      <c r="K19" s="128">
        <f>SUMPRODUCT($J$15:$J$17,K15:K17)</f>
        <v>4840</v>
      </c>
      <c r="L19" s="128">
        <f>SUMPRODUCT($J$15:$J$17,L15:L17)</f>
        <v>30.25</v>
      </c>
      <c r="M19" s="128">
        <f>SUMPRODUCT($J$15:$J$17,M15:M17)</f>
        <v>0</v>
      </c>
      <c r="N19" s="128">
        <f>SUMPRODUCT($J$15:$J$17,N15:N17)</f>
        <v>91.25</v>
      </c>
      <c r="O19" s="128">
        <f>SUM(O15:O17)</f>
        <v>8</v>
      </c>
      <c r="P19" s="128">
        <f>SUM(P15:P17)</f>
        <v>2</v>
      </c>
    </row>
    <row r="20" spans="2:16" ht="15.75" customHeight="1" x14ac:dyDescent="0.25">
      <c r="B20" s="61" t="s">
        <v>21</v>
      </c>
      <c r="C20" s="75">
        <f>O10+(0.04*O19)</f>
        <v>8.82</v>
      </c>
      <c r="D20" s="62" t="s">
        <v>64</v>
      </c>
      <c r="E20" s="62"/>
      <c r="F20" s="60"/>
      <c r="I20" s="139"/>
      <c r="J20" s="15" t="s">
        <v>114</v>
      </c>
      <c r="K20" s="15">
        <f>K19/2000</f>
        <v>2.42</v>
      </c>
      <c r="L20" s="15"/>
      <c r="M20" s="15"/>
      <c r="N20" s="15"/>
      <c r="O20" s="15"/>
      <c r="P20" s="140"/>
    </row>
    <row r="21" spans="2:16" ht="15.75" customHeight="1" x14ac:dyDescent="0.25">
      <c r="B21" s="61" t="s">
        <v>23</v>
      </c>
      <c r="C21" s="75">
        <f>P10+(0.04*P19)</f>
        <v>2.08</v>
      </c>
      <c r="D21" s="62" t="s">
        <v>64</v>
      </c>
      <c r="E21" s="62"/>
      <c r="F21" s="60"/>
    </row>
    <row r="22" spans="2:16" ht="15.75" customHeight="1" thickBot="1" x14ac:dyDescent="0.4">
      <c r="B22" s="63" t="s">
        <v>74</v>
      </c>
      <c r="C22" s="76">
        <f>K11+(0.04*K20)</f>
        <v>2.0027999999999997</v>
      </c>
      <c r="D22" s="62" t="s">
        <v>65</v>
      </c>
      <c r="E22" s="62"/>
      <c r="F22" s="60"/>
      <c r="I22" s="234" t="s">
        <v>117</v>
      </c>
      <c r="J22" s="235"/>
      <c r="K22" s="235"/>
      <c r="L22" s="235"/>
      <c r="M22" s="235"/>
      <c r="N22" s="235"/>
      <c r="O22" s="235"/>
      <c r="P22" s="236"/>
    </row>
    <row r="23" spans="2:16" ht="15.75" customHeight="1" x14ac:dyDescent="0.25">
      <c r="B23" s="63" t="s">
        <v>62</v>
      </c>
      <c r="C23" s="76">
        <v>0</v>
      </c>
      <c r="D23" s="62" t="s">
        <v>65</v>
      </c>
      <c r="E23" s="62"/>
      <c r="F23" s="60"/>
      <c r="I23" s="134" t="s">
        <v>101</v>
      </c>
      <c r="J23" s="135" t="s">
        <v>102</v>
      </c>
      <c r="K23" s="135" t="s">
        <v>103</v>
      </c>
      <c r="L23" s="135" t="s">
        <v>104</v>
      </c>
      <c r="M23" s="135" t="s">
        <v>105</v>
      </c>
      <c r="N23" s="135" t="s">
        <v>106</v>
      </c>
      <c r="O23" s="135" t="s">
        <v>107</v>
      </c>
      <c r="P23" s="136" t="s">
        <v>108</v>
      </c>
    </row>
    <row r="24" spans="2:16" ht="15.75" customHeight="1" x14ac:dyDescent="0.25">
      <c r="B24" s="63" t="s">
        <v>44</v>
      </c>
      <c r="C24" s="76">
        <v>0</v>
      </c>
      <c r="D24" s="62" t="s">
        <v>65</v>
      </c>
      <c r="E24" s="62"/>
      <c r="F24" s="60"/>
      <c r="I24" s="137" t="s">
        <v>116</v>
      </c>
      <c r="J24" s="128">
        <v>121</v>
      </c>
      <c r="K24" s="128">
        <v>15.5</v>
      </c>
      <c r="L24" s="128">
        <v>0.2</v>
      </c>
      <c r="M24" s="128">
        <v>3</v>
      </c>
      <c r="N24" s="128">
        <v>0.1</v>
      </c>
      <c r="O24" s="128"/>
      <c r="P24" s="138"/>
    </row>
    <row r="25" spans="2:16" ht="15.75" customHeight="1" x14ac:dyDescent="0.25">
      <c r="B25" s="59" t="s">
        <v>61</v>
      </c>
      <c r="C25" s="143">
        <f>SUM(C22:C24)</f>
        <v>2.0027999999999997</v>
      </c>
      <c r="D25" s="62" t="s">
        <v>65</v>
      </c>
      <c r="E25" s="62"/>
      <c r="F25" s="60"/>
      <c r="I25" s="137" t="s">
        <v>118</v>
      </c>
      <c r="J25" s="128">
        <v>167</v>
      </c>
      <c r="K25" s="128"/>
      <c r="L25" s="128"/>
      <c r="M25" s="128"/>
      <c r="N25" s="128">
        <f>N24</f>
        <v>0.1</v>
      </c>
      <c r="O25" s="128">
        <v>4.5</v>
      </c>
      <c r="P25" s="138"/>
    </row>
    <row r="26" spans="2:16" ht="15.75" customHeight="1" x14ac:dyDescent="0.25">
      <c r="B26" s="63" t="s">
        <v>45</v>
      </c>
      <c r="C26" s="75">
        <f>M10+(0.04*M19)</f>
        <v>0</v>
      </c>
      <c r="D26" s="62" t="s">
        <v>66</v>
      </c>
      <c r="E26" s="62"/>
      <c r="F26" s="60"/>
      <c r="I26" s="137" t="s">
        <v>119</v>
      </c>
      <c r="J26" s="128">
        <v>77</v>
      </c>
      <c r="K26" s="128">
        <v>15.5</v>
      </c>
      <c r="L26" s="128">
        <v>0.2</v>
      </c>
      <c r="M26" s="141">
        <v>3</v>
      </c>
      <c r="N26" s="128">
        <f>N25</f>
        <v>0.1</v>
      </c>
      <c r="O26" s="128"/>
      <c r="P26" s="138"/>
    </row>
    <row r="27" spans="2:16" ht="15.75" customHeight="1" x14ac:dyDescent="0.25">
      <c r="B27" s="63" t="s">
        <v>46</v>
      </c>
      <c r="C27" s="75">
        <f>L10+(0.04*L19)</f>
        <v>731.21</v>
      </c>
      <c r="D27" s="62" t="s">
        <v>66</v>
      </c>
      <c r="E27" s="62"/>
      <c r="F27" s="60"/>
      <c r="I27" s="137"/>
      <c r="J27" s="128"/>
      <c r="K27" s="128"/>
      <c r="L27" s="128"/>
      <c r="M27" s="128"/>
      <c r="N27" s="128"/>
      <c r="O27" s="128"/>
      <c r="P27" s="138"/>
    </row>
    <row r="28" spans="2:16" ht="15.75" customHeight="1" x14ac:dyDescent="0.25">
      <c r="B28" s="63" t="s">
        <v>47</v>
      </c>
      <c r="C28" s="75">
        <v>0</v>
      </c>
      <c r="D28" s="62" t="s">
        <v>66</v>
      </c>
      <c r="E28" s="62"/>
      <c r="F28" s="60"/>
      <c r="I28" s="137" t="s">
        <v>113</v>
      </c>
      <c r="J28" s="128">
        <f>SUM(J24:J26)</f>
        <v>365</v>
      </c>
      <c r="K28" s="128">
        <f>SUMPRODUCT($J$24:$J$26,K24:K26)</f>
        <v>3069</v>
      </c>
      <c r="L28" s="128">
        <f>SUMPRODUCT($J$24:$J$26,L24:L26)</f>
        <v>39.6</v>
      </c>
      <c r="M28" s="128">
        <f>SUMPRODUCT($J$24:$J$26,M24:M26)</f>
        <v>594</v>
      </c>
      <c r="N28" s="128">
        <f>SUMPRODUCT($J$24:$J$26,N24:N26)</f>
        <v>36.5</v>
      </c>
      <c r="O28" s="128">
        <f>SUM(O24:O26)</f>
        <v>4.5</v>
      </c>
      <c r="P28" s="128">
        <f>SUM(P24:P26)</f>
        <v>0</v>
      </c>
    </row>
    <row r="29" spans="2:16" ht="15.75" customHeight="1" x14ac:dyDescent="0.25">
      <c r="B29" s="59" t="s">
        <v>60</v>
      </c>
      <c r="C29" s="144">
        <f>SUM(C26:C28)</f>
        <v>731.21</v>
      </c>
      <c r="D29" s="62" t="s">
        <v>66</v>
      </c>
      <c r="E29" s="42"/>
      <c r="F29" s="60"/>
      <c r="I29" s="139"/>
      <c r="J29" s="15" t="s">
        <v>114</v>
      </c>
      <c r="K29" s="15">
        <f>K28/2000</f>
        <v>1.5345</v>
      </c>
      <c r="L29" s="15"/>
      <c r="M29" s="15"/>
      <c r="N29" s="15"/>
      <c r="O29" s="15"/>
      <c r="P29" s="140"/>
    </row>
    <row r="30" spans="2:16" ht="15.75" customHeight="1" thickBot="1" x14ac:dyDescent="0.3">
      <c r="B30" s="64" t="s">
        <v>39</v>
      </c>
      <c r="C30" s="77">
        <f>N10+(0.04*N19)</f>
        <v>94.9</v>
      </c>
      <c r="D30" s="65" t="s">
        <v>66</v>
      </c>
      <c r="E30" s="44"/>
      <c r="F30" s="66"/>
    </row>
  </sheetData>
  <sheetProtection algorithmName="SHA-512" hashValue="EybVXv+wRKKZkGxnlTqEVHVZRuONVWf7OewAkSgLI2t38mJV7nT9iSZDYv3SOS/1NPauS7JFIAczL5Apb+GNRQ==" saltValue="N1Zvh0mi08ta+UaLkObFIg==" spinCount="100000" sheet="1" objects="1" scenarios="1"/>
  <mergeCells count="5">
    <mergeCell ref="B1:G1"/>
    <mergeCell ref="I3:P3"/>
    <mergeCell ref="I13:P13"/>
    <mergeCell ref="I22:P22"/>
    <mergeCell ref="I1:P1"/>
  </mergeCells>
  <pageMargins left="0.7" right="0.7" top="0.75" bottom="0.75" header="0.3" footer="0.3"/>
  <pageSetup scale="9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sheetPr>
  <dimension ref="A1:U236"/>
  <sheetViews>
    <sheetView zoomScale="110" zoomScaleNormal="110" zoomScaleSheetLayoutView="80" workbookViewId="0">
      <selection activeCell="H4" sqref="H4"/>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28515625" customWidth="1"/>
  </cols>
  <sheetData>
    <row r="1" spans="1:20" ht="22.5" customHeight="1" x14ac:dyDescent="0.25">
      <c r="A1" s="243" t="s">
        <v>132</v>
      </c>
      <c r="B1" s="244"/>
      <c r="C1" s="245" t="s">
        <v>80</v>
      </c>
      <c r="D1" s="245"/>
      <c r="E1" s="245"/>
      <c r="F1" s="245"/>
      <c r="G1" s="246" t="str">
        <f>IF(C1=Prices!B3,TEXT(Prices!B4,"MMM-YYYY"),TEXT(Prices!C4,"MMM-YYYY"))</f>
        <v>(as of June 1st, 2016)</v>
      </c>
      <c r="H1" s="246"/>
      <c r="I1" s="246"/>
      <c r="J1" s="246"/>
      <c r="K1" s="162"/>
      <c r="L1" s="22"/>
      <c r="M1" s="22"/>
      <c r="N1" s="22"/>
    </row>
    <row r="2" spans="1:20" ht="15" customHeight="1" x14ac:dyDescent="0.25">
      <c r="A2" s="20"/>
      <c r="B2" s="21"/>
      <c r="D2" s="23"/>
      <c r="F2" s="22"/>
      <c r="G2" s="23"/>
      <c r="H2" s="22"/>
      <c r="I2" s="23"/>
      <c r="J2" s="22"/>
      <c r="K2" s="22"/>
      <c r="L2" s="252" t="s">
        <v>142</v>
      </c>
      <c r="M2" s="252"/>
      <c r="N2" s="158"/>
      <c r="O2" s="157"/>
      <c r="P2" s="157"/>
      <c r="Q2" s="157"/>
      <c r="R2" s="157"/>
      <c r="S2" s="157"/>
      <c r="T2" s="157"/>
    </row>
    <row r="3" spans="1:20" x14ac:dyDescent="0.25">
      <c r="A3" s="11" t="s">
        <v>1</v>
      </c>
      <c r="D3" s="12"/>
      <c r="G3" s="12"/>
      <c r="I3" s="12"/>
      <c r="L3" s="252"/>
      <c r="M3" s="252"/>
      <c r="N3" s="22"/>
    </row>
    <row r="4" spans="1:20" x14ac:dyDescent="0.25">
      <c r="A4" t="s">
        <v>18</v>
      </c>
      <c r="B4" s="78">
        <v>0.91</v>
      </c>
      <c r="D4" s="12"/>
      <c r="G4" s="12"/>
      <c r="I4" s="12"/>
      <c r="L4" s="252"/>
      <c r="M4" s="252"/>
      <c r="N4" s="22"/>
    </row>
    <row r="5" spans="1:20" x14ac:dyDescent="0.25">
      <c r="A5" t="s">
        <v>20</v>
      </c>
      <c r="B5" s="78">
        <v>0.16</v>
      </c>
      <c r="D5" s="12"/>
      <c r="G5" s="12"/>
      <c r="I5" s="12"/>
      <c r="L5" s="252"/>
      <c r="M5" s="252"/>
      <c r="N5" s="22"/>
    </row>
    <row r="6" spans="1:20" x14ac:dyDescent="0.25">
      <c r="B6" s="3"/>
      <c r="D6" s="12"/>
      <c r="G6" s="12"/>
      <c r="I6" s="12"/>
      <c r="L6" s="252"/>
      <c r="M6" s="252"/>
      <c r="N6" s="22"/>
    </row>
    <row r="7" spans="1:20" ht="30.75" thickBot="1" x14ac:dyDescent="0.3">
      <c r="A7" s="16" t="s">
        <v>0</v>
      </c>
      <c r="B7" s="16" t="s">
        <v>2</v>
      </c>
      <c r="C7" s="16" t="s">
        <v>3</v>
      </c>
      <c r="D7" s="16"/>
      <c r="E7" s="16" t="s">
        <v>17</v>
      </c>
      <c r="F7" s="16" t="s">
        <v>3</v>
      </c>
      <c r="G7" s="16"/>
      <c r="H7" s="16"/>
      <c r="I7" s="16"/>
      <c r="J7" s="16" t="s">
        <v>59</v>
      </c>
      <c r="K7" s="42"/>
      <c r="L7" s="167" t="s">
        <v>134</v>
      </c>
      <c r="M7" s="168" t="s">
        <v>135</v>
      </c>
      <c r="N7" s="22"/>
    </row>
    <row r="8" spans="1:20" x14ac:dyDescent="0.25">
      <c r="A8" t="s">
        <v>58</v>
      </c>
      <c r="B8" s="205">
        <f>0.5*(IF(C1=Prices!A1,Prices!B18,Prices!C18))+0.5*(IF(C1=Prices!A1,Prices!B17,Prices!C17))</f>
        <v>147.60000000000002</v>
      </c>
      <c r="C8" s="6" t="s">
        <v>40</v>
      </c>
      <c r="D8" s="12" t="s">
        <v>5</v>
      </c>
      <c r="E8" s="80">
        <v>550</v>
      </c>
      <c r="F8" s="6" t="s">
        <v>4</v>
      </c>
      <c r="G8" s="12" t="s">
        <v>5</v>
      </c>
      <c r="H8" s="206">
        <f>B4</f>
        <v>0.91</v>
      </c>
      <c r="I8" s="13" t="s">
        <v>6</v>
      </c>
      <c r="J8" s="4">
        <f>B8*(E8/100)*H8</f>
        <v>738.73800000000017</v>
      </c>
      <c r="K8" s="4"/>
      <c r="L8" s="145" t="s">
        <v>121</v>
      </c>
      <c r="M8" s="146" t="s">
        <v>121</v>
      </c>
      <c r="N8" s="22"/>
    </row>
    <row r="9" spans="1:20" x14ac:dyDescent="0.25">
      <c r="A9" t="s">
        <v>19</v>
      </c>
      <c r="B9" s="205">
        <f>IF(C1=Prices!A1,Prices!B19,Prices!C19)</f>
        <v>80</v>
      </c>
      <c r="C9" s="6" t="s">
        <v>40</v>
      </c>
      <c r="D9" s="12" t="s">
        <v>5</v>
      </c>
      <c r="E9" s="80">
        <v>1250</v>
      </c>
      <c r="F9" s="6" t="s">
        <v>4</v>
      </c>
      <c r="G9" s="12" t="s">
        <v>5</v>
      </c>
      <c r="H9" s="206">
        <f>B5</f>
        <v>0.16</v>
      </c>
      <c r="I9" s="13" t="s">
        <v>6</v>
      </c>
      <c r="J9" s="4">
        <f>B9*(E9/100)*H9</f>
        <v>160</v>
      </c>
      <c r="K9" s="4"/>
      <c r="L9" s="211">
        <v>1</v>
      </c>
      <c r="M9" s="147">
        <f>1-L9</f>
        <v>0</v>
      </c>
      <c r="N9" s="22"/>
    </row>
    <row r="10" spans="1:20" x14ac:dyDescent="0.25">
      <c r="A10" t="s">
        <v>76</v>
      </c>
      <c r="B10" s="1"/>
      <c r="C10" s="6"/>
      <c r="D10" s="12"/>
      <c r="E10" s="3"/>
      <c r="F10" s="6"/>
      <c r="G10" s="12"/>
      <c r="H10" s="5"/>
      <c r="I10" s="13"/>
      <c r="J10" s="79">
        <v>0</v>
      </c>
      <c r="K10" s="1"/>
      <c r="L10" s="211">
        <v>1</v>
      </c>
      <c r="M10" s="147">
        <f>1-L10</f>
        <v>0</v>
      </c>
      <c r="N10" s="22"/>
    </row>
    <row r="11" spans="1:20" x14ac:dyDescent="0.25">
      <c r="A11" s="19" t="s">
        <v>7</v>
      </c>
      <c r="B11" s="14"/>
      <c r="C11" s="14"/>
      <c r="D11" s="15"/>
      <c r="E11" s="14"/>
      <c r="F11" s="14"/>
      <c r="G11" s="15"/>
      <c r="H11" s="14"/>
      <c r="I11" s="15"/>
      <c r="J11" s="17">
        <f>SUM(J8:J10)</f>
        <v>898.73800000000017</v>
      </c>
      <c r="K11" s="18"/>
      <c r="L11" s="148"/>
      <c r="M11" s="149"/>
      <c r="N11" s="22"/>
    </row>
    <row r="12" spans="1:20" x14ac:dyDescent="0.25">
      <c r="A12" s="88"/>
      <c r="D12" s="12"/>
      <c r="G12" s="12"/>
      <c r="I12" s="12"/>
      <c r="L12" s="145"/>
      <c r="M12" s="146"/>
      <c r="N12" s="22"/>
    </row>
    <row r="13" spans="1:20" x14ac:dyDescent="0.25">
      <c r="A13" s="16" t="s">
        <v>8</v>
      </c>
      <c r="B13" s="14"/>
      <c r="C13" s="14"/>
      <c r="D13" s="15"/>
      <c r="E13" s="14"/>
      <c r="F13" s="14"/>
      <c r="G13" s="15"/>
      <c r="H13" s="14"/>
      <c r="I13" s="15"/>
      <c r="J13" s="14"/>
      <c r="K13" s="14"/>
      <c r="L13" s="148"/>
      <c r="M13" s="149"/>
      <c r="N13" s="22"/>
    </row>
    <row r="14" spans="1:20" x14ac:dyDescent="0.25">
      <c r="A14" t="s">
        <v>21</v>
      </c>
      <c r="B14" s="204">
        <f>IF(C1=Prices!A1, Prices!B12,Prices!C12)</f>
        <v>19.22</v>
      </c>
      <c r="C14" s="6" t="s">
        <v>24</v>
      </c>
      <c r="D14" s="12" t="s">
        <v>5</v>
      </c>
      <c r="E14" s="207">
        <f>Feed!C5</f>
        <v>9.5400000000000009</v>
      </c>
      <c r="F14" s="6" t="s">
        <v>54</v>
      </c>
      <c r="G14" s="12"/>
      <c r="H14" s="5"/>
      <c r="I14" s="13" t="s">
        <v>6</v>
      </c>
      <c r="J14" s="84">
        <f>B14*E14</f>
        <v>183.3588</v>
      </c>
      <c r="K14" s="84"/>
      <c r="L14" s="211">
        <v>0</v>
      </c>
      <c r="M14" s="147">
        <f>1-L14</f>
        <v>1</v>
      </c>
      <c r="N14" s="22"/>
    </row>
    <row r="15" spans="1:20" x14ac:dyDescent="0.25">
      <c r="A15" t="s">
        <v>23</v>
      </c>
      <c r="B15" s="204">
        <f>IF(C1=Prices!A1, Prices!B13,Prices!C13)</f>
        <v>15</v>
      </c>
      <c r="C15" s="6" t="s">
        <v>24</v>
      </c>
      <c r="D15" s="12" t="s">
        <v>5</v>
      </c>
      <c r="E15" s="207">
        <f>Feed!C6</f>
        <v>2.08</v>
      </c>
      <c r="F15" s="6" t="s">
        <v>54</v>
      </c>
      <c r="G15" s="12"/>
      <c r="H15" s="5"/>
      <c r="I15" s="13" t="s">
        <v>6</v>
      </c>
      <c r="J15" s="84">
        <f t="shared" ref="J15" si="0">B15*E15</f>
        <v>31.200000000000003</v>
      </c>
      <c r="K15" s="84"/>
      <c r="L15" s="211">
        <v>0</v>
      </c>
      <c r="M15" s="147">
        <f t="shared" ref="M15:M37" si="1">1-L15</f>
        <v>1</v>
      </c>
      <c r="N15" s="67"/>
    </row>
    <row r="16" spans="1:20" x14ac:dyDescent="0.25">
      <c r="A16" t="s">
        <v>22</v>
      </c>
      <c r="B16" s="204">
        <f>IF(C1=Prices!A1,(((Feed!C7/Feed!C10)*Prices!B10)+((Feed!C8/Feed!C10)*Prices!B9)+((Feed!C9/Feed!C10)*Prices!B11)),((Feed!C7/Feed!C10)*Prices!C10)+((Feed!C8/Feed!C10)*Prices!C9)+((Feed!C9/Feed!C10)*Prices!C11))</f>
        <v>65</v>
      </c>
      <c r="C16" s="6" t="s">
        <v>25</v>
      </c>
      <c r="D16" s="12" t="s">
        <v>5</v>
      </c>
      <c r="E16" s="208">
        <f>Feed!C10</f>
        <v>2.2483200000000001</v>
      </c>
      <c r="F16" s="6" t="s">
        <v>55</v>
      </c>
      <c r="G16" s="12"/>
      <c r="H16" s="5"/>
      <c r="I16" s="13" t="s">
        <v>6</v>
      </c>
      <c r="J16" s="84">
        <f>B16*E16</f>
        <v>146.14080000000001</v>
      </c>
      <c r="K16" s="84"/>
      <c r="L16" s="211">
        <v>0</v>
      </c>
      <c r="M16" s="147">
        <f t="shared" si="1"/>
        <v>1</v>
      </c>
      <c r="N16" s="67"/>
      <c r="Q16" s="4"/>
    </row>
    <row r="17" spans="1:21" x14ac:dyDescent="0.25">
      <c r="A17" s="26" t="s">
        <v>27</v>
      </c>
      <c r="B17" s="204">
        <f>IF(C1=Prices!A1,(((Feed!C13/Feed!C14)*Prices!B6)+((Feed!C12/Feed!C14)*Prices!B7)+((Feed!C11/Feed!C14)*(Prices!B5*2000)/56)),(((Feed!C13/Feed!C14)*Prices!C6)+((Feed!C12/Feed!C14)*Prices!C7)+((Feed!C11/Feed!C14)*(Prices!C5*2000)/56)))</f>
        <v>151.52156825669832</v>
      </c>
      <c r="C17" s="6" t="s">
        <v>25</v>
      </c>
      <c r="D17" s="12" t="s">
        <v>5</v>
      </c>
      <c r="E17" s="207">
        <f>Feed!C14</f>
        <v>832.58600000000001</v>
      </c>
      <c r="F17" s="6" t="s">
        <v>56</v>
      </c>
      <c r="G17" s="12"/>
      <c r="H17" s="5"/>
      <c r="I17" s="13" t="s">
        <v>6</v>
      </c>
      <c r="J17" s="84">
        <f>(B17/2000)*E17</f>
        <v>63.07736821428572</v>
      </c>
      <c r="K17" s="84"/>
      <c r="L17" s="211">
        <v>0</v>
      </c>
      <c r="M17" s="147">
        <f t="shared" si="1"/>
        <v>1</v>
      </c>
      <c r="N17" s="67"/>
      <c r="O17" s="4"/>
    </row>
    <row r="18" spans="1:21" x14ac:dyDescent="0.25">
      <c r="A18" t="s">
        <v>26</v>
      </c>
      <c r="B18" s="204">
        <f>IF(C1=Prices!A1,Prices!B14,Prices!C14)</f>
        <v>800</v>
      </c>
      <c r="C18" s="6" t="s">
        <v>25</v>
      </c>
      <c r="D18" s="12" t="s">
        <v>5</v>
      </c>
      <c r="E18" s="207">
        <f>Feed!C15</f>
        <v>100.74000000000001</v>
      </c>
      <c r="F18" s="6" t="s">
        <v>56</v>
      </c>
      <c r="G18" s="12"/>
      <c r="H18" s="5"/>
      <c r="I18" s="13" t="s">
        <v>6</v>
      </c>
      <c r="J18" s="84">
        <f>(B18/2000)*E18</f>
        <v>40.296000000000006</v>
      </c>
      <c r="K18" s="84"/>
      <c r="L18" s="211">
        <v>0</v>
      </c>
      <c r="M18" s="147">
        <f t="shared" si="1"/>
        <v>1</v>
      </c>
      <c r="N18" s="22"/>
      <c r="U18" s="4"/>
    </row>
    <row r="19" spans="1:21" x14ac:dyDescent="0.25">
      <c r="A19" t="s">
        <v>77</v>
      </c>
      <c r="B19" s="79">
        <v>0</v>
      </c>
      <c r="C19" s="6" t="s">
        <v>78</v>
      </c>
      <c r="D19" s="83" t="s">
        <v>42</v>
      </c>
      <c r="E19" s="81">
        <v>0</v>
      </c>
      <c r="F19" s="6" t="s">
        <v>79</v>
      </c>
      <c r="G19" s="83"/>
      <c r="H19" s="5"/>
      <c r="I19" s="13" t="s">
        <v>43</v>
      </c>
      <c r="J19" s="79">
        <f>B19*E19</f>
        <v>0</v>
      </c>
      <c r="K19" s="79"/>
      <c r="L19" s="211">
        <v>0</v>
      </c>
      <c r="M19" s="147">
        <f t="shared" si="1"/>
        <v>1</v>
      </c>
      <c r="N19" s="22"/>
      <c r="U19" s="4"/>
    </row>
    <row r="20" spans="1:21" x14ac:dyDescent="0.25">
      <c r="A20" t="s">
        <v>28</v>
      </c>
      <c r="B20" s="79">
        <v>20</v>
      </c>
      <c r="C20" s="6" t="s">
        <v>50</v>
      </c>
      <c r="D20" s="12" t="s">
        <v>42</v>
      </c>
      <c r="E20" s="81">
        <v>8</v>
      </c>
      <c r="F20" s="6" t="s">
        <v>68</v>
      </c>
      <c r="G20" s="12"/>
      <c r="H20" s="5"/>
      <c r="I20" s="13" t="s">
        <v>6</v>
      </c>
      <c r="J20" s="79">
        <f>B20*E20</f>
        <v>160</v>
      </c>
      <c r="K20" s="79"/>
      <c r="L20" s="211">
        <v>0.05</v>
      </c>
      <c r="M20" s="147">
        <f t="shared" si="1"/>
        <v>0.95</v>
      </c>
      <c r="N20" s="22"/>
    </row>
    <row r="21" spans="1:21" x14ac:dyDescent="0.25">
      <c r="A21" t="s">
        <v>29</v>
      </c>
      <c r="B21" s="79"/>
      <c r="C21" s="6"/>
      <c r="D21" s="12"/>
      <c r="E21" s="81"/>
      <c r="F21" s="6"/>
      <c r="G21" s="12"/>
      <c r="H21" s="5"/>
      <c r="I21" s="13"/>
      <c r="J21" s="79">
        <v>29</v>
      </c>
      <c r="K21" s="79"/>
      <c r="L21" s="211">
        <v>0.5</v>
      </c>
      <c r="M21" s="147">
        <f t="shared" si="1"/>
        <v>0.5</v>
      </c>
      <c r="N21" s="22"/>
    </row>
    <row r="22" spans="1:21" x14ac:dyDescent="0.25">
      <c r="A22" s="26" t="s">
        <v>35</v>
      </c>
      <c r="B22" s="79">
        <f>((IF(C1=Prices!A1, Prices!B17,Prices!C17))/100)*E8</f>
        <v>784.57500000000005</v>
      </c>
      <c r="C22" s="6" t="s">
        <v>33</v>
      </c>
      <c r="D22" s="12" t="s">
        <v>5</v>
      </c>
      <c r="E22" s="206">
        <f>B5</f>
        <v>0.16</v>
      </c>
      <c r="F22" s="7" t="s">
        <v>16</v>
      </c>
      <c r="G22" s="12"/>
      <c r="I22" s="13" t="s">
        <v>6</v>
      </c>
      <c r="J22" s="84">
        <f>B22*E22</f>
        <v>125.53200000000001</v>
      </c>
      <c r="K22" s="10"/>
      <c r="L22" s="211">
        <v>1</v>
      </c>
      <c r="M22" s="147">
        <f t="shared" si="1"/>
        <v>0</v>
      </c>
      <c r="N22" s="22"/>
    </row>
    <row r="23" spans="1:21" x14ac:dyDescent="0.25">
      <c r="A23" s="26" t="s">
        <v>71</v>
      </c>
      <c r="B23" s="1"/>
      <c r="C23" s="6"/>
      <c r="D23" s="56"/>
      <c r="E23" s="5"/>
      <c r="F23" s="7"/>
      <c r="G23" s="56"/>
      <c r="I23" s="13"/>
      <c r="J23" s="79">
        <f>((6000-1700)/4)*0.04</f>
        <v>43</v>
      </c>
      <c r="K23" s="79"/>
      <c r="L23" s="211">
        <v>1</v>
      </c>
      <c r="M23" s="147">
        <f t="shared" si="1"/>
        <v>0</v>
      </c>
      <c r="N23" s="22"/>
    </row>
    <row r="24" spans="1:21" x14ac:dyDescent="0.25">
      <c r="A24" t="s">
        <v>72</v>
      </c>
      <c r="B24" s="1"/>
      <c r="C24" s="6"/>
      <c r="D24" s="12"/>
      <c r="E24" s="3"/>
      <c r="F24" s="6"/>
      <c r="G24" s="12"/>
      <c r="H24" s="5"/>
      <c r="I24" s="13"/>
      <c r="J24" s="79">
        <v>23</v>
      </c>
      <c r="K24" s="79"/>
      <c r="L24" s="211">
        <v>0</v>
      </c>
      <c r="M24" s="147">
        <f t="shared" si="1"/>
        <v>1</v>
      </c>
      <c r="N24" s="22"/>
    </row>
    <row r="25" spans="1:21" x14ac:dyDescent="0.25">
      <c r="A25" t="s">
        <v>30</v>
      </c>
      <c r="B25" s="1"/>
      <c r="C25" s="6"/>
      <c r="D25" s="12"/>
      <c r="E25" s="3"/>
      <c r="F25" s="6"/>
      <c r="G25" s="12"/>
      <c r="H25" s="5"/>
      <c r="I25" s="13"/>
      <c r="J25" s="79">
        <v>44</v>
      </c>
      <c r="K25" s="79"/>
      <c r="L25" s="211">
        <v>0</v>
      </c>
      <c r="M25" s="147">
        <f t="shared" si="1"/>
        <v>1</v>
      </c>
      <c r="N25" s="22"/>
    </row>
    <row r="26" spans="1:21" x14ac:dyDescent="0.25">
      <c r="A26" t="s">
        <v>51</v>
      </c>
      <c r="B26" s="1"/>
      <c r="C26" s="6"/>
      <c r="D26" s="12"/>
      <c r="E26" s="3"/>
      <c r="F26" s="6"/>
      <c r="G26" s="12"/>
      <c r="H26" s="5"/>
      <c r="I26" s="13"/>
      <c r="J26" s="79">
        <v>56</v>
      </c>
      <c r="K26" s="79"/>
      <c r="L26" s="211">
        <v>0</v>
      </c>
      <c r="M26" s="147">
        <f t="shared" si="1"/>
        <v>1</v>
      </c>
      <c r="N26" s="22"/>
    </row>
    <row r="27" spans="1:21" x14ac:dyDescent="0.25">
      <c r="A27" s="14" t="s">
        <v>31</v>
      </c>
      <c r="B27" s="14"/>
      <c r="C27" s="36"/>
      <c r="D27" s="15"/>
      <c r="E27" s="37"/>
      <c r="F27" s="36"/>
      <c r="G27" s="15"/>
      <c r="H27" s="38"/>
      <c r="I27" s="39"/>
      <c r="J27" s="82">
        <v>17</v>
      </c>
      <c r="K27" s="82"/>
      <c r="L27" s="212">
        <v>0.5</v>
      </c>
      <c r="M27" s="150">
        <f t="shared" si="1"/>
        <v>0.5</v>
      </c>
      <c r="N27" s="22"/>
    </row>
    <row r="28" spans="1:21" x14ac:dyDescent="0.25">
      <c r="A28" s="8" t="s">
        <v>12</v>
      </c>
      <c r="D28" s="12"/>
      <c r="G28" s="12"/>
      <c r="I28" s="12"/>
      <c r="J28" s="9">
        <f>SUM(J14:J27)</f>
        <v>961.6049682142858</v>
      </c>
      <c r="K28" s="9"/>
      <c r="L28" s="151">
        <f>SUMPRODUCT(J14:J27,L14:L27)</f>
        <v>199.53200000000001</v>
      </c>
      <c r="M28" s="152">
        <f>SUMPRODUCT(J14:J27,M14:M27)</f>
        <v>762.07296821428577</v>
      </c>
      <c r="N28" s="22"/>
    </row>
    <row r="29" spans="1:21" x14ac:dyDescent="0.25">
      <c r="D29" s="12"/>
      <c r="G29" s="12"/>
      <c r="I29" s="12"/>
      <c r="L29" s="145"/>
      <c r="M29" s="147"/>
      <c r="N29" s="22"/>
    </row>
    <row r="30" spans="1:21" x14ac:dyDescent="0.25">
      <c r="A30" s="16" t="s">
        <v>9</v>
      </c>
      <c r="B30" s="14"/>
      <c r="C30" s="14"/>
      <c r="D30" s="15"/>
      <c r="E30" s="14"/>
      <c r="F30" s="14"/>
      <c r="G30" s="15"/>
      <c r="H30" s="14"/>
      <c r="I30" s="15"/>
      <c r="J30" s="14"/>
      <c r="K30" s="14"/>
      <c r="L30" s="148"/>
      <c r="M30" s="150"/>
      <c r="N30" s="22"/>
    </row>
    <row r="31" spans="1:21" x14ac:dyDescent="0.25">
      <c r="A31" s="156" t="s">
        <v>123</v>
      </c>
      <c r="B31" s="209">
        <v>2000</v>
      </c>
      <c r="C31" s="29" t="s">
        <v>124</v>
      </c>
      <c r="D31" s="128" t="s">
        <v>42</v>
      </c>
      <c r="E31" s="210">
        <v>0.06</v>
      </c>
      <c r="F31" s="46" t="s">
        <v>125</v>
      </c>
      <c r="G31" s="128"/>
      <c r="H31" s="29"/>
      <c r="I31" s="128" t="s">
        <v>43</v>
      </c>
      <c r="J31" s="155">
        <f>B31*E31</f>
        <v>120</v>
      </c>
      <c r="K31" s="155"/>
      <c r="L31" s="211">
        <v>1</v>
      </c>
      <c r="M31" s="147">
        <f>1-L31</f>
        <v>0</v>
      </c>
      <c r="N31" s="22"/>
    </row>
    <row r="32" spans="1:21" x14ac:dyDescent="0.25">
      <c r="A32" s="156" t="s">
        <v>138</v>
      </c>
      <c r="B32" s="209">
        <v>2000</v>
      </c>
      <c r="C32" s="29" t="s">
        <v>124</v>
      </c>
      <c r="D32" s="160" t="s">
        <v>42</v>
      </c>
      <c r="E32" s="210">
        <v>0.01</v>
      </c>
      <c r="F32" s="46" t="s">
        <v>137</v>
      </c>
      <c r="G32" s="160"/>
      <c r="H32" s="29"/>
      <c r="I32" s="160" t="s">
        <v>43</v>
      </c>
      <c r="J32" s="155">
        <f>B32*E32</f>
        <v>20</v>
      </c>
      <c r="K32" s="155"/>
      <c r="L32" s="172">
        <f>L31</f>
        <v>1</v>
      </c>
      <c r="M32" s="147">
        <f t="shared" ref="M32:M33" si="2">1-L32</f>
        <v>0</v>
      </c>
      <c r="N32" s="22"/>
    </row>
    <row r="33" spans="1:17" x14ac:dyDescent="0.25">
      <c r="A33" s="156" t="s">
        <v>136</v>
      </c>
      <c r="B33" s="209"/>
      <c r="C33" s="29"/>
      <c r="D33" s="215"/>
      <c r="E33" s="210"/>
      <c r="F33" s="46"/>
      <c r="G33" s="215"/>
      <c r="H33" s="29"/>
      <c r="I33" s="215"/>
      <c r="J33" s="155">
        <v>0</v>
      </c>
      <c r="K33" s="155"/>
      <c r="L33" s="211">
        <v>1</v>
      </c>
      <c r="M33" s="214">
        <f t="shared" si="2"/>
        <v>0</v>
      </c>
      <c r="N33" s="22"/>
    </row>
    <row r="34" spans="1:17" x14ac:dyDescent="0.25">
      <c r="A34" t="s">
        <v>126</v>
      </c>
      <c r="D34" s="12"/>
      <c r="G34" s="12"/>
      <c r="I34" s="12"/>
      <c r="J34" s="79">
        <v>57</v>
      </c>
      <c r="K34" s="79"/>
      <c r="L34" s="211">
        <v>0</v>
      </c>
      <c r="M34" s="147">
        <f t="shared" si="1"/>
        <v>1</v>
      </c>
      <c r="N34" s="22"/>
    </row>
    <row r="35" spans="1:17" x14ac:dyDescent="0.25">
      <c r="A35" t="s">
        <v>53</v>
      </c>
      <c r="D35" s="12"/>
      <c r="G35" s="12"/>
      <c r="I35" s="12"/>
      <c r="J35" s="79">
        <v>7</v>
      </c>
      <c r="K35" s="79"/>
      <c r="L35" s="211">
        <v>0</v>
      </c>
      <c r="M35" s="147">
        <f t="shared" si="1"/>
        <v>1</v>
      </c>
      <c r="N35" s="22"/>
    </row>
    <row r="36" spans="1:17" x14ac:dyDescent="0.25">
      <c r="A36" t="s">
        <v>52</v>
      </c>
      <c r="D36" s="40"/>
      <c r="G36" s="40"/>
      <c r="I36" s="40"/>
      <c r="J36" s="79">
        <v>13</v>
      </c>
      <c r="K36" s="79"/>
      <c r="L36" s="211">
        <v>0.5</v>
      </c>
      <c r="M36" s="147">
        <f>1-L36</f>
        <v>0.5</v>
      </c>
      <c r="N36" s="22"/>
    </row>
    <row r="37" spans="1:17" x14ac:dyDescent="0.25">
      <c r="A37" s="47" t="s">
        <v>57</v>
      </c>
      <c r="B37" s="14"/>
      <c r="C37" s="14"/>
      <c r="D37" s="15"/>
      <c r="E37" s="14"/>
      <c r="F37" s="14"/>
      <c r="G37" s="15"/>
      <c r="H37" s="14"/>
      <c r="I37" s="15"/>
      <c r="J37" s="82">
        <v>0</v>
      </c>
      <c r="K37" s="82"/>
      <c r="L37" s="212">
        <v>0.5</v>
      </c>
      <c r="M37" s="150">
        <f t="shared" si="1"/>
        <v>0.5</v>
      </c>
      <c r="N37" s="22"/>
    </row>
    <row r="38" spans="1:17" x14ac:dyDescent="0.25">
      <c r="A38" s="8" t="s">
        <v>10</v>
      </c>
      <c r="D38" s="12"/>
      <c r="G38" s="12"/>
      <c r="I38" s="12"/>
      <c r="J38" s="9">
        <f>SUM(J31:J37)</f>
        <v>217</v>
      </c>
      <c r="K38" s="9"/>
      <c r="L38" s="151">
        <f>SUMPRODUCT(J31:J37,L31:L37)</f>
        <v>146.5</v>
      </c>
      <c r="M38" s="152">
        <f>SUMPRODUCT(J31:J37,M31:M37)</f>
        <v>70.5</v>
      </c>
      <c r="N38" s="22"/>
    </row>
    <row r="39" spans="1:17" x14ac:dyDescent="0.25">
      <c r="D39" s="12"/>
      <c r="G39" s="12"/>
      <c r="I39" s="12"/>
      <c r="L39" s="145"/>
      <c r="M39" s="146"/>
      <c r="N39" s="22"/>
    </row>
    <row r="40" spans="1:17" ht="15" customHeight="1" thickBot="1" x14ac:dyDescent="0.3">
      <c r="A40" s="16" t="s">
        <v>11</v>
      </c>
      <c r="B40" s="14"/>
      <c r="C40" s="14"/>
      <c r="D40" s="15"/>
      <c r="E40" s="14"/>
      <c r="F40" s="14"/>
      <c r="G40" s="15"/>
      <c r="H40" s="14"/>
      <c r="I40" s="15"/>
      <c r="J40" s="17">
        <f>J28+J38</f>
        <v>1178.6049682142857</v>
      </c>
      <c r="K40" s="18"/>
      <c r="L40" s="196">
        <f>SUM(L28,L38)</f>
        <v>346.03200000000004</v>
      </c>
      <c r="M40" s="195">
        <f>SUM(M28,M38)</f>
        <v>832.57296821428577</v>
      </c>
      <c r="N40" s="22"/>
    </row>
    <row r="41" spans="1:17" ht="28.5" customHeight="1" thickTop="1" x14ac:dyDescent="0.25">
      <c r="A41" s="28"/>
      <c r="B41" s="29"/>
      <c r="C41" s="29"/>
      <c r="D41" s="30"/>
      <c r="E41" s="29"/>
      <c r="F41" s="29"/>
      <c r="G41" s="30"/>
      <c r="H41" s="29"/>
      <c r="I41" s="30"/>
      <c r="J41" s="203"/>
      <c r="K41" s="18"/>
      <c r="L41" s="197">
        <f>L40-SUMPRODUCT(L9:L10,J9:J10)</f>
        <v>186.03200000000004</v>
      </c>
      <c r="M41" s="198">
        <f>M40-SUMPRODUCT(M9:M10,J9:J10)</f>
        <v>832.57296821428577</v>
      </c>
      <c r="N41" s="253" t="s">
        <v>140</v>
      </c>
      <c r="O41" s="253"/>
      <c r="P41" s="253"/>
      <c r="Q41" s="254"/>
    </row>
    <row r="42" spans="1:17" ht="25.5" customHeight="1" x14ac:dyDescent="0.25">
      <c r="A42" t="s">
        <v>32</v>
      </c>
      <c r="D42" s="12"/>
      <c r="G42" s="12"/>
      <c r="I42" s="12"/>
      <c r="J42" s="50">
        <f>J11-J28</f>
        <v>-62.866968214285635</v>
      </c>
      <c r="K42" s="50"/>
      <c r="L42" s="199">
        <f>L41/SUM(L41,M41)</f>
        <v>0.1826340984043425</v>
      </c>
      <c r="M42" s="200">
        <f>M41/(SUM(L41,M41))</f>
        <v>0.81736590159565747</v>
      </c>
      <c r="N42" s="255" t="s">
        <v>141</v>
      </c>
      <c r="O42" s="255"/>
      <c r="P42" s="255"/>
      <c r="Q42" s="256"/>
    </row>
    <row r="43" spans="1:17" ht="28.5" customHeight="1" thickBot="1" x14ac:dyDescent="0.3">
      <c r="A43" s="2" t="s">
        <v>13</v>
      </c>
      <c r="D43" s="12"/>
      <c r="G43" s="12"/>
      <c r="I43" s="12"/>
      <c r="J43" s="24">
        <f>J11-J40</f>
        <v>-279.86696821428552</v>
      </c>
      <c r="K43" s="18"/>
      <c r="L43" s="175">
        <f>L42*J8</f>
        <v>134.91874858702721</v>
      </c>
      <c r="M43" s="176">
        <f>M42*J8</f>
        <v>603.8192514129729</v>
      </c>
      <c r="N43" s="257" t="s">
        <v>122</v>
      </c>
      <c r="O43" s="257"/>
      <c r="P43" s="257"/>
      <c r="Q43" s="258"/>
    </row>
    <row r="44" spans="1:17" ht="15.75" thickTop="1" x14ac:dyDescent="0.25">
      <c r="Q44" s="29"/>
    </row>
    <row r="45" spans="1:17" ht="11.25" customHeight="1" x14ac:dyDescent="0.25">
      <c r="A45" s="247" t="s">
        <v>41</v>
      </c>
      <c r="B45" s="248"/>
      <c r="C45" s="248"/>
      <c r="D45" s="248"/>
      <c r="E45" s="248"/>
      <c r="F45" s="248"/>
      <c r="G45" s="248"/>
      <c r="H45" s="248"/>
      <c r="I45" s="248"/>
      <c r="J45" s="248"/>
      <c r="K45" s="163"/>
    </row>
    <row r="46" spans="1:17" ht="15.75" x14ac:dyDescent="0.25">
      <c r="A46" s="31" t="s">
        <v>133</v>
      </c>
      <c r="B46" s="31"/>
      <c r="C46" s="31"/>
      <c r="D46" s="31"/>
      <c r="E46" s="31"/>
      <c r="F46" s="31"/>
      <c r="G46" s="31"/>
      <c r="H46" s="31"/>
      <c r="I46" s="251" t="str">
        <f>TEXT(Introduction!L8,"MMM. DD, YYYY")</f>
        <v>Version- 6.1.2016</v>
      </c>
      <c r="J46" s="251"/>
      <c r="K46" s="164"/>
    </row>
    <row r="47" spans="1:17" ht="16.5" customHeight="1" x14ac:dyDescent="0.25">
      <c r="B47" s="35"/>
    </row>
    <row r="48" spans="1:17" ht="22.5" customHeight="1" thickBot="1" x14ac:dyDescent="0.35">
      <c r="A48" s="249" t="str">
        <f>A1</f>
        <v xml:space="preserve"> KSU Beef Cow Lease</v>
      </c>
      <c r="B48" s="250"/>
      <c r="C48" s="240"/>
      <c r="D48" s="240"/>
      <c r="E48" s="240"/>
      <c r="F48" s="240"/>
      <c r="G48" s="241"/>
      <c r="H48" s="241"/>
      <c r="I48" s="241"/>
      <c r="J48" s="241"/>
      <c r="K48" s="165"/>
    </row>
    <row r="49" ht="27" customHeight="1" x14ac:dyDescent="0.25"/>
    <row r="88" spans="1:11" ht="30.75" customHeight="1" x14ac:dyDescent="0.25"/>
    <row r="89" spans="1:11" ht="32.25" customHeight="1" x14ac:dyDescent="0.25"/>
    <row r="90" spans="1:11" ht="28.5" customHeight="1" x14ac:dyDescent="0.25"/>
    <row r="91" spans="1:11" ht="28.5" customHeight="1" x14ac:dyDescent="0.25"/>
    <row r="92" spans="1:11" ht="17.25" customHeight="1" x14ac:dyDescent="0.25">
      <c r="A92" s="247" t="s">
        <v>41</v>
      </c>
      <c r="B92" s="248"/>
      <c r="C92" s="248"/>
      <c r="D92" s="248"/>
      <c r="E92" s="248"/>
      <c r="F92" s="248"/>
      <c r="G92" s="248"/>
      <c r="H92" s="248"/>
      <c r="I92" s="248"/>
      <c r="J92" s="248"/>
      <c r="K92" s="163"/>
    </row>
    <row r="93" spans="1:11" ht="15.75" x14ac:dyDescent="0.25">
      <c r="A93" s="31" t="str">
        <f>A46</f>
        <v>Publication: AM-FMG-CowLease</v>
      </c>
      <c r="B93" s="31"/>
      <c r="C93" s="31"/>
      <c r="D93" s="31"/>
      <c r="E93" s="31"/>
      <c r="F93" s="31"/>
      <c r="G93" s="31"/>
      <c r="H93" s="31"/>
      <c r="I93" s="259" t="str">
        <f>I46</f>
        <v>Version- 6.1.2016</v>
      </c>
      <c r="J93" s="259"/>
      <c r="K93" s="166"/>
    </row>
    <row r="94" spans="1:11" ht="16.5" customHeight="1" x14ac:dyDescent="0.25">
      <c r="A94" s="53"/>
      <c r="B94" s="53"/>
      <c r="C94" s="53"/>
      <c r="D94" s="53"/>
      <c r="E94" s="53"/>
      <c r="F94" s="53"/>
      <c r="G94" s="53"/>
      <c r="H94" s="53"/>
      <c r="I94" s="53"/>
      <c r="J94" s="53"/>
      <c r="K94" s="53"/>
    </row>
    <row r="95" spans="1:11" ht="22.5" customHeight="1" thickBot="1" x14ac:dyDescent="0.35">
      <c r="A95" s="249" t="str">
        <f>A1</f>
        <v xml:space="preserve"> KSU Beef Cow Lease</v>
      </c>
      <c r="B95" s="250"/>
      <c r="C95" s="240"/>
      <c r="D95" s="240"/>
      <c r="E95" s="240"/>
      <c r="F95" s="240"/>
      <c r="G95" s="241"/>
      <c r="H95" s="241"/>
      <c r="I95" s="241"/>
      <c r="J95" s="241"/>
      <c r="K95" s="165"/>
    </row>
    <row r="96" spans="1:11" ht="45" customHeight="1" x14ac:dyDescent="0.3">
      <c r="A96" s="169"/>
      <c r="B96" s="170"/>
      <c r="C96" s="171"/>
      <c r="D96" s="171"/>
      <c r="E96" s="171"/>
      <c r="F96" s="171"/>
      <c r="G96" s="165"/>
      <c r="H96" s="165"/>
      <c r="I96" s="165"/>
      <c r="J96" s="165"/>
      <c r="K96" s="165"/>
    </row>
    <row r="97" spans="1:11" ht="52.5" customHeight="1" x14ac:dyDescent="0.3">
      <c r="A97" s="169"/>
      <c r="B97" s="170"/>
      <c r="C97" s="171"/>
      <c r="D97" s="171"/>
      <c r="E97" s="171"/>
      <c r="F97" s="171"/>
      <c r="G97" s="165"/>
      <c r="H97" s="165"/>
      <c r="I97" s="165"/>
      <c r="J97" s="165"/>
      <c r="K97" s="165"/>
    </row>
    <row r="98" spans="1:11" ht="48.75" customHeight="1" x14ac:dyDescent="0.3">
      <c r="A98" s="169"/>
      <c r="B98" s="170"/>
      <c r="C98" s="171"/>
      <c r="D98" s="171"/>
      <c r="E98" s="171"/>
      <c r="F98" s="171"/>
      <c r="G98" s="165"/>
      <c r="H98" s="165"/>
      <c r="I98" s="165"/>
      <c r="J98" s="165"/>
      <c r="K98" s="165"/>
    </row>
    <row r="99" spans="1:11" ht="30.75" customHeight="1" x14ac:dyDescent="0.3">
      <c r="A99" s="169"/>
      <c r="B99" s="170"/>
      <c r="C99" s="171"/>
      <c r="D99" s="171"/>
      <c r="E99" s="171"/>
      <c r="F99" s="171"/>
      <c r="G99" s="165"/>
      <c r="H99" s="165"/>
      <c r="I99" s="165"/>
      <c r="J99" s="165"/>
      <c r="K99" s="165"/>
    </row>
    <row r="100" spans="1:11" ht="22.5" customHeight="1" x14ac:dyDescent="0.25">
      <c r="A100" s="54" t="s">
        <v>69</v>
      </c>
    </row>
    <row r="102" spans="1:11" ht="15.75" thickBot="1" x14ac:dyDescent="0.3">
      <c r="A102" s="45" t="s">
        <v>48</v>
      </c>
      <c r="B102" s="44" t="s">
        <v>49</v>
      </c>
      <c r="C102" s="44"/>
      <c r="D102" s="44"/>
      <c r="E102" s="44"/>
    </row>
    <row r="103" spans="1:11" x14ac:dyDescent="0.25">
      <c r="A103" s="28"/>
      <c r="B103" s="16" t="s">
        <v>17</v>
      </c>
      <c r="C103" s="16" t="s">
        <v>3</v>
      </c>
      <c r="D103" s="29"/>
      <c r="E103" s="29"/>
    </row>
    <row r="104" spans="1:11" x14ac:dyDescent="0.25">
      <c r="A104" t="s">
        <v>21</v>
      </c>
      <c r="B104" s="43">
        <f>Feed!C5</f>
        <v>9.5400000000000009</v>
      </c>
      <c r="C104" s="6" t="s">
        <v>64</v>
      </c>
      <c r="D104" s="6"/>
    </row>
    <row r="105" spans="1:11" x14ac:dyDescent="0.25">
      <c r="A105" t="s">
        <v>63</v>
      </c>
      <c r="B105" s="48">
        <f>Feed!C6</f>
        <v>2.08</v>
      </c>
      <c r="C105" s="6" t="s">
        <v>64</v>
      </c>
      <c r="D105" s="6"/>
    </row>
    <row r="106" spans="1:11" x14ac:dyDescent="0.25">
      <c r="A106" s="41" t="s">
        <v>74</v>
      </c>
      <c r="B106" s="48">
        <f>Feed!C7</f>
        <v>2.2483200000000001</v>
      </c>
      <c r="C106" s="6" t="s">
        <v>65</v>
      </c>
      <c r="D106" s="6"/>
    </row>
    <row r="107" spans="1:11" x14ac:dyDescent="0.25">
      <c r="A107" s="41" t="s">
        <v>62</v>
      </c>
      <c r="B107" s="48">
        <f>Feed!C8</f>
        <v>0</v>
      </c>
      <c r="C107" s="6" t="s">
        <v>65</v>
      </c>
      <c r="D107" s="6"/>
    </row>
    <row r="108" spans="1:11" x14ac:dyDescent="0.25">
      <c r="A108" s="41" t="s">
        <v>44</v>
      </c>
      <c r="B108" s="48">
        <f>Feed!C9</f>
        <v>0</v>
      </c>
      <c r="C108" s="6" t="s">
        <v>65</v>
      </c>
      <c r="D108" s="6"/>
    </row>
    <row r="109" spans="1:11" x14ac:dyDescent="0.25">
      <c r="A109" t="s">
        <v>61</v>
      </c>
      <c r="B109" s="48">
        <f>Feed!C10</f>
        <v>2.2483200000000001</v>
      </c>
      <c r="C109" s="6" t="s">
        <v>65</v>
      </c>
      <c r="D109" s="6"/>
    </row>
    <row r="110" spans="1:11" x14ac:dyDescent="0.25">
      <c r="A110" s="41" t="s">
        <v>45</v>
      </c>
      <c r="B110" s="43">
        <f>Feed!C11</f>
        <v>95.04</v>
      </c>
      <c r="C110" s="6" t="s">
        <v>66</v>
      </c>
      <c r="D110" s="6"/>
    </row>
    <row r="111" spans="1:11" x14ac:dyDescent="0.25">
      <c r="A111" s="41" t="s">
        <v>46</v>
      </c>
      <c r="B111" s="43">
        <f>Feed!C12</f>
        <v>737.54600000000005</v>
      </c>
      <c r="C111" s="6" t="s">
        <v>66</v>
      </c>
      <c r="D111" s="6"/>
    </row>
    <row r="112" spans="1:11" x14ac:dyDescent="0.25">
      <c r="A112" s="41" t="s">
        <v>47</v>
      </c>
      <c r="B112" s="43">
        <f>Feed!C13</f>
        <v>0</v>
      </c>
      <c r="C112" s="6" t="s">
        <v>66</v>
      </c>
      <c r="D112" s="6"/>
    </row>
    <row r="113" spans="1:6" x14ac:dyDescent="0.25">
      <c r="A113" t="s">
        <v>60</v>
      </c>
      <c r="B113" s="43">
        <f>Feed!C14</f>
        <v>832.58600000000001</v>
      </c>
      <c r="C113" s="6" t="s">
        <v>66</v>
      </c>
      <c r="D113" s="6"/>
    </row>
    <row r="114" spans="1:6" x14ac:dyDescent="0.25">
      <c r="A114" t="s">
        <v>39</v>
      </c>
      <c r="B114" s="43">
        <f>Feed!C15</f>
        <v>100.74000000000001</v>
      </c>
      <c r="C114" s="6" t="s">
        <v>66</v>
      </c>
      <c r="D114" s="6"/>
    </row>
    <row r="117" spans="1:6" ht="15.75" thickBot="1" x14ac:dyDescent="0.3">
      <c r="A117" s="45" t="s">
        <v>75</v>
      </c>
      <c r="B117" s="44"/>
      <c r="C117" s="44"/>
      <c r="D117" s="44"/>
      <c r="E117" s="29"/>
      <c r="F117" s="29"/>
    </row>
    <row r="118" spans="1:6" x14ac:dyDescent="0.25">
      <c r="A118" s="49"/>
      <c r="B118" s="51">
        <v>2016</v>
      </c>
      <c r="C118" s="242" t="s">
        <v>70</v>
      </c>
      <c r="D118" s="242"/>
    </row>
    <row r="119" spans="1:6" ht="30" customHeight="1" x14ac:dyDescent="0.25">
      <c r="A119" t="str">
        <f>Prices!A5</f>
        <v>Corn ($/bu)</v>
      </c>
      <c r="B119" s="50">
        <f>Prices!B5</f>
        <v>4.03</v>
      </c>
      <c r="C119" s="238">
        <f>Prices!C5</f>
        <v>3.7</v>
      </c>
      <c r="D119" s="239"/>
    </row>
    <row r="120" spans="1:6" x14ac:dyDescent="0.25">
      <c r="A120" t="str">
        <f>Prices!A7</f>
        <v>DDGS ($/ton)</v>
      </c>
      <c r="B120" s="50">
        <f>Prices!B7</f>
        <v>152.5</v>
      </c>
      <c r="C120" s="238">
        <f>Prices!C7</f>
        <v>140.01240694789081</v>
      </c>
      <c r="D120" s="239"/>
    </row>
    <row r="121" spans="1:6" x14ac:dyDescent="0.25">
      <c r="A121" t="str">
        <f>Prices!A10</f>
        <v>Prairie Hay ($/ton)</v>
      </c>
      <c r="B121" s="50">
        <f>Prices!B10</f>
        <v>65</v>
      </c>
      <c r="C121" s="238">
        <f>Prices!C10</f>
        <v>59.677419354838712</v>
      </c>
      <c r="D121" s="239"/>
    </row>
    <row r="122" spans="1:6" x14ac:dyDescent="0.25">
      <c r="A122" t="str">
        <f>Prices!A12</f>
        <v>Pasture Rental ($/acre)</v>
      </c>
      <c r="B122" s="50">
        <f>Prices!B12</f>
        <v>19.22</v>
      </c>
      <c r="C122" s="238">
        <f>Prices!C12</f>
        <v>21.141999999999999</v>
      </c>
      <c r="D122" s="239"/>
    </row>
    <row r="123" spans="1:6" x14ac:dyDescent="0.25">
      <c r="A123" t="str">
        <f>Prices!A13</f>
        <v>Crop Residue ($/acre)</v>
      </c>
      <c r="B123" s="50">
        <f>Prices!B13</f>
        <v>15</v>
      </c>
      <c r="C123" s="238">
        <f>Prices!C13</f>
        <v>16.5</v>
      </c>
      <c r="D123" s="239"/>
    </row>
    <row r="124" spans="1:6" x14ac:dyDescent="0.25">
      <c r="A124" t="str">
        <f>Prices!A14</f>
        <v>Beef Cow Mineral ($/ton)</v>
      </c>
      <c r="B124" s="50">
        <f>Prices!B14</f>
        <v>800</v>
      </c>
      <c r="C124" s="238">
        <f>Prices!C14</f>
        <v>880.00000000000011</v>
      </c>
      <c r="D124" s="239"/>
    </row>
    <row r="125" spans="1:6" x14ac:dyDescent="0.25">
      <c r="A125" t="str">
        <f>Prices!A17</f>
        <v>Oct. Heifer Calf Price ($/cwt)*</v>
      </c>
      <c r="B125" s="50">
        <f>Prices!B17</f>
        <v>142.65</v>
      </c>
      <c r="C125" s="238">
        <f>Prices!C17</f>
        <v>175.44407079646018</v>
      </c>
      <c r="D125" s="238"/>
      <c r="E125" s="52"/>
      <c r="F125" s="30"/>
    </row>
    <row r="126" spans="1:6" x14ac:dyDescent="0.25">
      <c r="A126" t="str">
        <f>Prices!A18</f>
        <v>Oct. Steer Calves Price ($/cwt)*</v>
      </c>
      <c r="B126" s="50">
        <f>Prices!B18</f>
        <v>152.55000000000001</v>
      </c>
      <c r="C126" s="238">
        <f>Prices!C18</f>
        <v>187.62</v>
      </c>
      <c r="D126" s="238"/>
      <c r="E126" s="86"/>
      <c r="F126" s="87"/>
    </row>
    <row r="127" spans="1:6" x14ac:dyDescent="0.25">
      <c r="A127" t="str">
        <f>Prices!A19</f>
        <v>Beef Cull cow ($/cwt)*****</v>
      </c>
      <c r="B127" s="50">
        <f>Prices!B19</f>
        <v>80</v>
      </c>
      <c r="C127" s="238">
        <f>Prices!C19</f>
        <v>85.916376606076227</v>
      </c>
      <c r="D127" s="238"/>
      <c r="E127" s="86"/>
      <c r="F127" s="87"/>
    </row>
    <row r="128" spans="1:6" x14ac:dyDescent="0.25">
      <c r="B128" s="50"/>
      <c r="C128" s="86"/>
      <c r="D128" s="87"/>
      <c r="E128" s="86"/>
      <c r="F128" s="87"/>
    </row>
    <row r="129" spans="1:11" x14ac:dyDescent="0.25">
      <c r="A129" s="6" t="str">
        <f>Prices!A21</f>
        <v>* This a predicted October price for the budget year</v>
      </c>
      <c r="B129" s="124"/>
      <c r="C129" s="125"/>
      <c r="D129" s="126"/>
      <c r="E129" s="125"/>
      <c r="F129" s="126"/>
      <c r="G129" s="6"/>
      <c r="H129" s="6"/>
      <c r="I129" s="6"/>
      <c r="J129" s="6"/>
      <c r="K129" s="6"/>
    </row>
    <row r="130" spans="1:11" s="6" customFormat="1" x14ac:dyDescent="0.25">
      <c r="A130" s="6" t="str">
        <f>Prices!A22</f>
        <v>*****This a current cull cow price for the date of the latest price update</v>
      </c>
      <c r="B130" s="124"/>
      <c r="C130" s="125"/>
      <c r="D130" s="126"/>
      <c r="E130" s="125"/>
      <c r="F130" s="126"/>
    </row>
    <row r="131" spans="1:11" s="6" customFormat="1" x14ac:dyDescent="0.25">
      <c r="A131"/>
      <c r="B131" s="50"/>
      <c r="C131" s="86"/>
      <c r="D131" s="87"/>
      <c r="E131" s="86"/>
      <c r="F131" s="87"/>
      <c r="G131"/>
      <c r="H131"/>
      <c r="I131"/>
      <c r="J131"/>
      <c r="K131"/>
    </row>
    <row r="132" spans="1:11" ht="63" customHeight="1" x14ac:dyDescent="0.25"/>
    <row r="133" spans="1:11" ht="20.25" customHeight="1" x14ac:dyDescent="0.25">
      <c r="A133" s="247" t="s">
        <v>41</v>
      </c>
      <c r="B133" s="248"/>
      <c r="C133" s="248"/>
      <c r="D133" s="248"/>
      <c r="E133" s="248"/>
      <c r="F133" s="248"/>
      <c r="G133" s="248"/>
      <c r="H133" s="248"/>
      <c r="I133" s="248"/>
      <c r="J133" s="248"/>
      <c r="K133" s="163"/>
    </row>
    <row r="134" spans="1:11" ht="15.75" x14ac:dyDescent="0.25">
      <c r="A134" s="31" t="str">
        <f>A93</f>
        <v>Publication: AM-FMG-CowLease</v>
      </c>
      <c r="B134" s="31"/>
      <c r="C134" s="31"/>
      <c r="D134" s="31"/>
      <c r="E134" s="31"/>
      <c r="F134" s="31"/>
      <c r="G134" s="31"/>
      <c r="H134" s="31"/>
      <c r="I134" s="259" t="str">
        <f>I93</f>
        <v>Version- 6.1.2016</v>
      </c>
      <c r="J134" s="259"/>
      <c r="K134" s="166"/>
    </row>
    <row r="189" spans="1:11" ht="18.75" x14ac:dyDescent="0.25">
      <c r="A189" s="243" t="s">
        <v>132</v>
      </c>
      <c r="B189" s="244"/>
      <c r="C189" s="245" t="str">
        <f>C1</f>
        <v>2016 Production Year</v>
      </c>
      <c r="D189" s="245"/>
      <c r="E189" s="245"/>
      <c r="F189" s="245"/>
      <c r="G189" s="246" t="str">
        <f>G1</f>
        <v>(as of June 1st, 2016)</v>
      </c>
      <c r="H189" s="246"/>
      <c r="I189" s="246"/>
      <c r="J189" s="246"/>
      <c r="K189" s="162"/>
    </row>
    <row r="190" spans="1:11" x14ac:dyDescent="0.25">
      <c r="A190" s="20"/>
      <c r="B190" s="21"/>
      <c r="D190" s="23"/>
      <c r="F190" s="22"/>
      <c r="G190" s="23"/>
      <c r="H190" s="22"/>
      <c r="I190" s="23"/>
      <c r="J190" s="22"/>
      <c r="K190" s="22"/>
    </row>
    <row r="191" spans="1:11" x14ac:dyDescent="0.25">
      <c r="A191" s="11" t="s">
        <v>1</v>
      </c>
      <c r="D191" s="130"/>
      <c r="G191" s="130"/>
      <c r="I191" s="130"/>
    </row>
    <row r="192" spans="1:11" x14ac:dyDescent="0.25">
      <c r="A192" t="s">
        <v>18</v>
      </c>
      <c r="B192" s="185">
        <f>B4</f>
        <v>0.91</v>
      </c>
      <c r="D192" s="130"/>
      <c r="G192" s="130"/>
      <c r="I192" s="130"/>
    </row>
    <row r="193" spans="1:9" x14ac:dyDescent="0.25">
      <c r="A193" t="s">
        <v>20</v>
      </c>
      <c r="B193" s="185">
        <f>B5</f>
        <v>0.16</v>
      </c>
      <c r="D193" s="130"/>
      <c r="G193" s="130"/>
      <c r="I193" s="130"/>
    </row>
    <row r="194" spans="1:9" x14ac:dyDescent="0.25">
      <c r="B194" s="3"/>
      <c r="D194" s="130"/>
      <c r="G194" s="130"/>
      <c r="I194" s="130"/>
    </row>
    <row r="195" spans="1:9" ht="30" x14ac:dyDescent="0.25">
      <c r="A195" s="16" t="s">
        <v>0</v>
      </c>
      <c r="B195" s="16" t="s">
        <v>59</v>
      </c>
      <c r="C195" s="179" t="s">
        <v>134</v>
      </c>
      <c r="D195" s="260" t="s">
        <v>135</v>
      </c>
      <c r="E195" s="260"/>
    </row>
    <row r="196" spans="1:9" x14ac:dyDescent="0.25">
      <c r="A196" t="s">
        <v>58</v>
      </c>
      <c r="B196" s="4">
        <f>J8</f>
        <v>738.73800000000017</v>
      </c>
      <c r="C196" s="180" t="str">
        <f>L8</f>
        <v>Split</v>
      </c>
      <c r="D196" s="261" t="s">
        <v>121</v>
      </c>
      <c r="E196" s="261"/>
    </row>
    <row r="197" spans="1:9" x14ac:dyDescent="0.25">
      <c r="A197" t="s">
        <v>19</v>
      </c>
      <c r="B197" s="4">
        <f>J9</f>
        <v>160</v>
      </c>
      <c r="C197" s="180">
        <f>L9</f>
        <v>1</v>
      </c>
      <c r="D197" s="262">
        <f>1-C197</f>
        <v>0</v>
      </c>
      <c r="E197" s="262"/>
    </row>
    <row r="198" spans="1:9" x14ac:dyDescent="0.25">
      <c r="A198" t="s">
        <v>76</v>
      </c>
      <c r="B198" s="4">
        <f>J10</f>
        <v>0</v>
      </c>
      <c r="C198" s="180">
        <f>L10</f>
        <v>1</v>
      </c>
      <c r="D198" s="262">
        <f>1-C198</f>
        <v>0</v>
      </c>
      <c r="E198" s="262"/>
    </row>
    <row r="199" spans="1:9" x14ac:dyDescent="0.25">
      <c r="A199" s="19" t="s">
        <v>7</v>
      </c>
      <c r="B199" s="17">
        <f>J11</f>
        <v>898.73800000000017</v>
      </c>
      <c r="C199" s="184"/>
      <c r="D199" s="263"/>
      <c r="E199" s="263"/>
    </row>
    <row r="200" spans="1:9" x14ac:dyDescent="0.25">
      <c r="A200" s="88"/>
      <c r="B200" s="4"/>
      <c r="C200" s="180"/>
      <c r="D200" s="261"/>
      <c r="E200" s="261"/>
    </row>
    <row r="201" spans="1:9" x14ac:dyDescent="0.25">
      <c r="A201" s="16" t="s">
        <v>8</v>
      </c>
      <c r="B201" s="178"/>
      <c r="C201" s="184"/>
      <c r="D201" s="263"/>
      <c r="E201" s="263"/>
    </row>
    <row r="202" spans="1:9" x14ac:dyDescent="0.25">
      <c r="A202" t="s">
        <v>21</v>
      </c>
      <c r="B202" s="4">
        <f>J14</f>
        <v>183.3588</v>
      </c>
      <c r="C202" s="180">
        <f>L14</f>
        <v>0</v>
      </c>
      <c r="D202" s="262">
        <f>1-C202</f>
        <v>1</v>
      </c>
      <c r="E202" s="262"/>
    </row>
    <row r="203" spans="1:9" x14ac:dyDescent="0.25">
      <c r="A203" t="s">
        <v>23</v>
      </c>
      <c r="B203" s="4">
        <f>J15</f>
        <v>31.200000000000003</v>
      </c>
      <c r="C203" s="180">
        <f>L15</f>
        <v>0</v>
      </c>
      <c r="D203" s="262">
        <f t="shared" ref="D203:D215" si="3">1-C203</f>
        <v>1</v>
      </c>
      <c r="E203" s="262"/>
    </row>
    <row r="204" spans="1:9" x14ac:dyDescent="0.25">
      <c r="A204" t="s">
        <v>22</v>
      </c>
      <c r="B204" s="4">
        <f>J16</f>
        <v>146.14080000000001</v>
      </c>
      <c r="C204" s="180">
        <f>L16</f>
        <v>0</v>
      </c>
      <c r="D204" s="262">
        <f t="shared" si="3"/>
        <v>1</v>
      </c>
      <c r="E204" s="262"/>
    </row>
    <row r="205" spans="1:9" x14ac:dyDescent="0.25">
      <c r="A205" s="26" t="s">
        <v>27</v>
      </c>
      <c r="B205" s="4">
        <f>J17</f>
        <v>63.07736821428572</v>
      </c>
      <c r="C205" s="180">
        <f>L17</f>
        <v>0</v>
      </c>
      <c r="D205" s="262">
        <f t="shared" si="3"/>
        <v>1</v>
      </c>
      <c r="E205" s="262"/>
      <c r="F205" s="4"/>
      <c r="I205" s="4"/>
    </row>
    <row r="206" spans="1:9" x14ac:dyDescent="0.25">
      <c r="A206" t="s">
        <v>26</v>
      </c>
      <c r="B206" s="4">
        <f>J18</f>
        <v>40.296000000000006</v>
      </c>
      <c r="C206" s="180">
        <f>L18</f>
        <v>0</v>
      </c>
      <c r="D206" s="262">
        <f t="shared" si="3"/>
        <v>1</v>
      </c>
      <c r="E206" s="262"/>
    </row>
    <row r="207" spans="1:9" x14ac:dyDescent="0.25">
      <c r="A207" t="s">
        <v>77</v>
      </c>
      <c r="B207" s="4">
        <f>J19</f>
        <v>0</v>
      </c>
      <c r="C207" s="180">
        <f>L19</f>
        <v>0</v>
      </c>
      <c r="D207" s="262">
        <f t="shared" si="3"/>
        <v>1</v>
      </c>
      <c r="E207" s="262"/>
    </row>
    <row r="208" spans="1:9" x14ac:dyDescent="0.25">
      <c r="A208" t="s">
        <v>28</v>
      </c>
      <c r="B208" s="4">
        <f>J20</f>
        <v>160</v>
      </c>
      <c r="C208" s="180">
        <f>L20</f>
        <v>0.05</v>
      </c>
      <c r="D208" s="262">
        <f t="shared" si="3"/>
        <v>0.95</v>
      </c>
      <c r="E208" s="262"/>
    </row>
    <row r="209" spans="1:5" x14ac:dyDescent="0.25">
      <c r="A209" t="s">
        <v>29</v>
      </c>
      <c r="B209" s="4">
        <f>J21</f>
        <v>29</v>
      </c>
      <c r="C209" s="180">
        <f>L21</f>
        <v>0.5</v>
      </c>
      <c r="D209" s="262">
        <f t="shared" si="3"/>
        <v>0.5</v>
      </c>
      <c r="E209" s="262"/>
    </row>
    <row r="210" spans="1:5" x14ac:dyDescent="0.25">
      <c r="A210" s="26" t="s">
        <v>35</v>
      </c>
      <c r="B210" s="4">
        <f>J22</f>
        <v>125.53200000000001</v>
      </c>
      <c r="C210" s="180">
        <f>L22</f>
        <v>1</v>
      </c>
      <c r="D210" s="262">
        <f t="shared" si="3"/>
        <v>0</v>
      </c>
      <c r="E210" s="262"/>
    </row>
    <row r="211" spans="1:5" x14ac:dyDescent="0.25">
      <c r="A211" s="26" t="s">
        <v>71</v>
      </c>
      <c r="B211" s="4">
        <f>J23</f>
        <v>43</v>
      </c>
      <c r="C211" s="180">
        <f>L23</f>
        <v>1</v>
      </c>
      <c r="D211" s="262">
        <f t="shared" si="3"/>
        <v>0</v>
      </c>
      <c r="E211" s="262"/>
    </row>
    <row r="212" spans="1:5" x14ac:dyDescent="0.25">
      <c r="A212" t="s">
        <v>72</v>
      </c>
      <c r="B212" s="4">
        <f>J24</f>
        <v>23</v>
      </c>
      <c r="C212" s="180">
        <f>L24</f>
        <v>0</v>
      </c>
      <c r="D212" s="262">
        <f t="shared" si="3"/>
        <v>1</v>
      </c>
      <c r="E212" s="262"/>
    </row>
    <row r="213" spans="1:5" x14ac:dyDescent="0.25">
      <c r="A213" t="s">
        <v>30</v>
      </c>
      <c r="B213" s="4">
        <f>J25</f>
        <v>44</v>
      </c>
      <c r="C213" s="180">
        <f>L25</f>
        <v>0</v>
      </c>
      <c r="D213" s="262">
        <f t="shared" si="3"/>
        <v>1</v>
      </c>
      <c r="E213" s="262"/>
    </row>
    <row r="214" spans="1:5" x14ac:dyDescent="0.25">
      <c r="A214" t="s">
        <v>51</v>
      </c>
      <c r="B214" s="4">
        <f>J26</f>
        <v>56</v>
      </c>
      <c r="C214" s="180">
        <f>L26</f>
        <v>0</v>
      </c>
      <c r="D214" s="262">
        <f t="shared" si="3"/>
        <v>1</v>
      </c>
      <c r="E214" s="262"/>
    </row>
    <row r="215" spans="1:5" x14ac:dyDescent="0.25">
      <c r="A215" s="14" t="s">
        <v>31</v>
      </c>
      <c r="B215" s="178">
        <f>J27</f>
        <v>17</v>
      </c>
      <c r="C215" s="184">
        <f>L27</f>
        <v>0.5</v>
      </c>
      <c r="D215" s="264">
        <f t="shared" si="3"/>
        <v>0.5</v>
      </c>
      <c r="E215" s="264"/>
    </row>
    <row r="216" spans="1:5" x14ac:dyDescent="0.25">
      <c r="A216" s="8" t="s">
        <v>12</v>
      </c>
      <c r="B216" s="9">
        <f>J28</f>
        <v>961.6049682142858</v>
      </c>
      <c r="C216" s="151">
        <f>L28</f>
        <v>199.53200000000001</v>
      </c>
      <c r="D216" s="265">
        <f>M28</f>
        <v>762.07296821428577</v>
      </c>
      <c r="E216" s="265"/>
    </row>
    <row r="217" spans="1:5" x14ac:dyDescent="0.25">
      <c r="B217" s="4"/>
      <c r="C217" s="180"/>
      <c r="D217" s="262"/>
      <c r="E217" s="262"/>
    </row>
    <row r="218" spans="1:5" x14ac:dyDescent="0.25">
      <c r="A218" s="16" t="s">
        <v>9</v>
      </c>
      <c r="B218" s="178"/>
      <c r="C218" s="184"/>
      <c r="D218" s="264"/>
      <c r="E218" s="264"/>
    </row>
    <row r="219" spans="1:5" x14ac:dyDescent="0.25">
      <c r="A219" s="156" t="s">
        <v>123</v>
      </c>
      <c r="B219" s="4">
        <f>J31</f>
        <v>120</v>
      </c>
      <c r="C219" s="180">
        <f>L31</f>
        <v>1</v>
      </c>
      <c r="D219" s="262">
        <f>1-C219</f>
        <v>0</v>
      </c>
      <c r="E219" s="262"/>
    </row>
    <row r="220" spans="1:5" x14ac:dyDescent="0.25">
      <c r="A220" s="156" t="s">
        <v>138</v>
      </c>
      <c r="B220" s="4">
        <f>J32</f>
        <v>20</v>
      </c>
      <c r="C220" s="180">
        <f>L32</f>
        <v>1</v>
      </c>
      <c r="D220" s="262">
        <f t="shared" ref="D220:D223" si="4">1-C220</f>
        <v>0</v>
      </c>
      <c r="E220" s="262"/>
    </row>
    <row r="221" spans="1:5" x14ac:dyDescent="0.25">
      <c r="A221" s="156" t="s">
        <v>136</v>
      </c>
      <c r="B221" s="4">
        <f>J33</f>
        <v>0</v>
      </c>
      <c r="C221" s="180">
        <f>L33</f>
        <v>1</v>
      </c>
      <c r="D221" s="262">
        <f t="shared" ref="D221" si="5">1-C221</f>
        <v>0</v>
      </c>
      <c r="E221" s="262"/>
    </row>
    <row r="222" spans="1:5" x14ac:dyDescent="0.25">
      <c r="A222" t="s">
        <v>126</v>
      </c>
      <c r="B222" s="4">
        <f t="shared" ref="B222:B225" si="6">J34</f>
        <v>57</v>
      </c>
      <c r="C222" s="180">
        <f>L34</f>
        <v>0</v>
      </c>
      <c r="D222" s="262">
        <f t="shared" si="4"/>
        <v>1</v>
      </c>
      <c r="E222" s="262"/>
    </row>
    <row r="223" spans="1:5" x14ac:dyDescent="0.25">
      <c r="A223" t="s">
        <v>53</v>
      </c>
      <c r="B223" s="4">
        <f t="shared" si="6"/>
        <v>7</v>
      </c>
      <c r="C223" s="180">
        <f>L36</f>
        <v>0.5</v>
      </c>
      <c r="D223" s="262">
        <f t="shared" si="4"/>
        <v>0.5</v>
      </c>
      <c r="E223" s="262"/>
    </row>
    <row r="224" spans="1:5" x14ac:dyDescent="0.25">
      <c r="A224" t="s">
        <v>52</v>
      </c>
      <c r="B224" s="4">
        <f t="shared" si="6"/>
        <v>13</v>
      </c>
      <c r="C224" s="180">
        <f>L37</f>
        <v>0.5</v>
      </c>
      <c r="D224" s="262">
        <f>1-C224</f>
        <v>0.5</v>
      </c>
      <c r="E224" s="262"/>
    </row>
    <row r="225" spans="1:11" x14ac:dyDescent="0.25">
      <c r="A225" s="47" t="s">
        <v>57</v>
      </c>
      <c r="B225" s="178">
        <f t="shared" si="6"/>
        <v>0</v>
      </c>
      <c r="C225" s="184">
        <f>L37</f>
        <v>0.5</v>
      </c>
      <c r="D225" s="264">
        <f t="shared" ref="D225" si="7">1-C225</f>
        <v>0.5</v>
      </c>
      <c r="E225" s="264"/>
    </row>
    <row r="226" spans="1:11" x14ac:dyDescent="0.25">
      <c r="A226" s="8" t="s">
        <v>10</v>
      </c>
      <c r="B226" s="18">
        <f>J38</f>
        <v>217</v>
      </c>
      <c r="C226" s="151">
        <f>L38</f>
        <v>146.5</v>
      </c>
      <c r="D226" s="265">
        <f>M38</f>
        <v>70.5</v>
      </c>
      <c r="E226" s="265"/>
    </row>
    <row r="227" spans="1:11" x14ac:dyDescent="0.25">
      <c r="B227" s="4"/>
      <c r="C227" s="145"/>
      <c r="D227" s="261"/>
      <c r="E227" s="261"/>
    </row>
    <row r="228" spans="1:11" ht="15.75" thickBot="1" x14ac:dyDescent="0.3">
      <c r="A228" s="16" t="s">
        <v>11</v>
      </c>
      <c r="B228" s="17">
        <f>J40</f>
        <v>1178.6049682142857</v>
      </c>
      <c r="C228" s="181">
        <f t="shared" ref="C228:D231" si="8">L40</f>
        <v>346.03200000000004</v>
      </c>
      <c r="D228" s="266">
        <f t="shared" si="8"/>
        <v>832.57296821428577</v>
      </c>
      <c r="E228" s="266"/>
    </row>
    <row r="229" spans="1:11" ht="27" customHeight="1" thickTop="1" x14ac:dyDescent="0.25">
      <c r="A229" s="28"/>
      <c r="B229" s="182"/>
      <c r="C229" s="187">
        <f t="shared" si="8"/>
        <v>186.03200000000004</v>
      </c>
      <c r="D229" s="267">
        <f t="shared" si="8"/>
        <v>832.57296821428577</v>
      </c>
      <c r="E229" s="267"/>
      <c r="F229" s="253" t="s">
        <v>140</v>
      </c>
      <c r="G229" s="253"/>
      <c r="H229" s="253"/>
      <c r="I229" s="253"/>
      <c r="J229" s="254"/>
      <c r="K229" s="201"/>
    </row>
    <row r="230" spans="1:11" ht="28.5" customHeight="1" x14ac:dyDescent="0.25">
      <c r="A230" t="s">
        <v>32</v>
      </c>
      <c r="B230" s="183">
        <f>J42</f>
        <v>-62.866968214285635</v>
      </c>
      <c r="C230" s="188">
        <f t="shared" si="8"/>
        <v>0.1826340984043425</v>
      </c>
      <c r="D230" s="268">
        <f t="shared" si="8"/>
        <v>0.81736590159565747</v>
      </c>
      <c r="E230" s="268"/>
      <c r="F230" s="255" t="s">
        <v>141</v>
      </c>
      <c r="G230" s="255"/>
      <c r="H230" s="255"/>
      <c r="I230" s="255"/>
      <c r="J230" s="256"/>
      <c r="K230" s="201"/>
    </row>
    <row r="231" spans="1:11" ht="27" customHeight="1" thickBot="1" x14ac:dyDescent="0.3">
      <c r="A231" s="2" t="s">
        <v>13</v>
      </c>
      <c r="B231" s="183">
        <f>J43</f>
        <v>-279.86696821428552</v>
      </c>
      <c r="C231" s="186">
        <f t="shared" si="8"/>
        <v>134.91874858702721</v>
      </c>
      <c r="D231" s="269">
        <f t="shared" si="8"/>
        <v>603.8192514129729</v>
      </c>
      <c r="E231" s="269"/>
      <c r="F231" s="270" t="s">
        <v>122</v>
      </c>
      <c r="G231" s="270"/>
      <c r="H231" s="270"/>
      <c r="I231" s="270"/>
      <c r="J231" s="271"/>
      <c r="K231" s="202"/>
    </row>
    <row r="232" spans="1:11" ht="15.75" thickTop="1" x14ac:dyDescent="0.25"/>
    <row r="235" spans="1:11" x14ac:dyDescent="0.25">
      <c r="A235" s="247" t="s">
        <v>41</v>
      </c>
      <c r="B235" s="248"/>
      <c r="C235" s="248"/>
      <c r="D235" s="248"/>
      <c r="E235" s="248"/>
      <c r="F235" s="248"/>
      <c r="G235" s="248"/>
      <c r="H235" s="248"/>
      <c r="I235" s="248"/>
      <c r="J235" s="248"/>
      <c r="K235" s="163"/>
    </row>
    <row r="236" spans="1:11" ht="15.75" x14ac:dyDescent="0.25">
      <c r="A236" s="161" t="str">
        <f>A134</f>
        <v>Publication: AM-FMG-CowLease</v>
      </c>
      <c r="B236" s="161"/>
      <c r="C236" s="161"/>
      <c r="D236" s="161"/>
      <c r="E236" s="161"/>
      <c r="F236" s="161"/>
      <c r="G236" s="161"/>
      <c r="H236" s="161"/>
      <c r="I236" s="259" t="str">
        <f>I134</f>
        <v>Version- 6.1.2016</v>
      </c>
      <c r="J236" s="259"/>
      <c r="K236" s="166"/>
    </row>
  </sheetData>
  <sheetProtection algorithmName="SHA-512" hashValue="Ylvg14nKBkAAutqtMn9gJiwQEgB1qExHUW6WEK0N3th9aDYeHmPApmhjL6tNxozgu1PfjjwkBksFd1uKkrriUg==" saltValue="zqrKENGUXwDqRLn+dPehEA==" spinCount="100000" sheet="1" objects="1" scenarios="1"/>
  <mergeCells count="74">
    <mergeCell ref="A235:J235"/>
    <mergeCell ref="I236:J236"/>
    <mergeCell ref="F229:J229"/>
    <mergeCell ref="D230:E230"/>
    <mergeCell ref="F230:J230"/>
    <mergeCell ref="D231:E231"/>
    <mergeCell ref="F231:J231"/>
    <mergeCell ref="D225:E225"/>
    <mergeCell ref="D226:E226"/>
    <mergeCell ref="D227:E227"/>
    <mergeCell ref="D228:E228"/>
    <mergeCell ref="D229:E229"/>
    <mergeCell ref="D220:E220"/>
    <mergeCell ref="D222:E222"/>
    <mergeCell ref="D223:E223"/>
    <mergeCell ref="D224:E224"/>
    <mergeCell ref="D215:E215"/>
    <mergeCell ref="D216:E216"/>
    <mergeCell ref="D217:E217"/>
    <mergeCell ref="D218:E218"/>
    <mergeCell ref="D219:E219"/>
    <mergeCell ref="D221:E221"/>
    <mergeCell ref="D210:E210"/>
    <mergeCell ref="D211:E211"/>
    <mergeCell ref="D212:E212"/>
    <mergeCell ref="D213:E213"/>
    <mergeCell ref="D214:E214"/>
    <mergeCell ref="D205:E205"/>
    <mergeCell ref="D206:E206"/>
    <mergeCell ref="D207:E207"/>
    <mergeCell ref="D208:E208"/>
    <mergeCell ref="D209:E209"/>
    <mergeCell ref="D200:E200"/>
    <mergeCell ref="D201:E201"/>
    <mergeCell ref="D202:E202"/>
    <mergeCell ref="D203:E203"/>
    <mergeCell ref="D204:E204"/>
    <mergeCell ref="D195:E195"/>
    <mergeCell ref="D196:E196"/>
    <mergeCell ref="D197:E197"/>
    <mergeCell ref="D198:E198"/>
    <mergeCell ref="D199:E199"/>
    <mergeCell ref="L2:M6"/>
    <mergeCell ref="N41:Q41"/>
    <mergeCell ref="N42:Q42"/>
    <mergeCell ref="N43:Q43"/>
    <mergeCell ref="A189:B189"/>
    <mergeCell ref="C189:F189"/>
    <mergeCell ref="G189:J189"/>
    <mergeCell ref="C123:D123"/>
    <mergeCell ref="C124:D124"/>
    <mergeCell ref="A45:J45"/>
    <mergeCell ref="I93:J93"/>
    <mergeCell ref="I134:J134"/>
    <mergeCell ref="C126:D126"/>
    <mergeCell ref="C127:D127"/>
    <mergeCell ref="A133:J133"/>
    <mergeCell ref="A95:B95"/>
    <mergeCell ref="A1:B1"/>
    <mergeCell ref="C1:F1"/>
    <mergeCell ref="G1:J1"/>
    <mergeCell ref="A92:J92"/>
    <mergeCell ref="A48:B48"/>
    <mergeCell ref="C48:F48"/>
    <mergeCell ref="G48:J48"/>
    <mergeCell ref="I46:J46"/>
    <mergeCell ref="C121:D121"/>
    <mergeCell ref="C122:D122"/>
    <mergeCell ref="C125:D125"/>
    <mergeCell ref="C95:F95"/>
    <mergeCell ref="G95:J95"/>
    <mergeCell ref="C118:D118"/>
    <mergeCell ref="C119:D119"/>
    <mergeCell ref="C120:D120"/>
  </mergeCells>
  <dataValidations count="1">
    <dataValidation type="list" showInputMessage="1" showErrorMessage="1" prompt="Select a price horizon to budget from" sqref="C1:F1 C189:F189">
      <formula1>price_selections</formula1>
    </dataValidation>
  </dataValidations>
  <pageMargins left="0.25" right="0.25" top="0.75" bottom="0.5" header="0.3" footer="0"/>
  <pageSetup scale="90" orientation="portrait" cellComments="atEnd" horizontalDpi="4294967295" verticalDpi="4294967295" r:id="rId1"/>
  <headerFooter scaleWithDoc="0">
    <oddHeader>&amp;L&amp;"-,Bold"&amp;20KSU-Beef Cow Lease Spreadsheet&amp;R&amp;"-,Italic"Raised Replacement Heifers</oddHeader>
  </headerFooter>
  <rowBreaks count="2" manualBreakCount="2">
    <brk id="46" max="9" man="1"/>
    <brk id="9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9226" r:id="rId4" name="Button 10">
              <controlPr defaultSize="0" print="0" autoFill="0" autoPict="0" macro="[0]!PrintSummaryR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9227" r:id="rId5" name="Button 11">
              <controlPr defaultSize="0" print="0" autoFill="0" autoPict="0" macro="[0]!PrintFullRR">
                <anchor moveWithCells="1" sizeWithCells="1">
                  <from>
                    <xdr:col>14</xdr:col>
                    <xdr:colOff>352425</xdr:colOff>
                    <xdr:row>4</xdr:row>
                    <xdr:rowOff>47625</xdr:rowOff>
                  </from>
                  <to>
                    <xdr:col>19</xdr:col>
                    <xdr:colOff>0</xdr:colOff>
                    <xdr:row>6</xdr:row>
                    <xdr:rowOff>95250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U236"/>
  <sheetViews>
    <sheetView zoomScale="110" zoomScaleNormal="110" zoomScaleSheetLayoutView="80" workbookViewId="0">
      <selection activeCell="O92" sqref="O92"/>
    </sheetView>
  </sheetViews>
  <sheetFormatPr defaultRowHeight="15" x14ac:dyDescent="0.25"/>
  <cols>
    <col min="1" max="1" width="31" customWidth="1"/>
    <col min="2" max="2" width="12.85546875" customWidth="1"/>
    <col min="3" max="3" width="12" bestFit="1" customWidth="1"/>
    <col min="4" max="4" width="2.85546875" bestFit="1" customWidth="1"/>
    <col min="5" max="5" width="7.140625" bestFit="1" customWidth="1"/>
    <col min="6" max="6" width="7" customWidth="1"/>
    <col min="7" max="7" width="5.42578125" customWidth="1"/>
    <col min="8" max="8" width="7" customWidth="1"/>
    <col min="9" max="9" width="3.28515625" customWidth="1"/>
    <col min="10" max="10" width="14.5703125" customWidth="1"/>
    <col min="11" max="11" width="3.140625" customWidth="1"/>
  </cols>
  <sheetData>
    <row r="1" spans="1:19" ht="22.5" customHeight="1" x14ac:dyDescent="0.25">
      <c r="A1" s="243" t="s">
        <v>132</v>
      </c>
      <c r="B1" s="244"/>
      <c r="C1" s="245" t="s">
        <v>80</v>
      </c>
      <c r="D1" s="245"/>
      <c r="E1" s="245"/>
      <c r="F1" s="245"/>
      <c r="G1" s="246" t="str">
        <f>IF(C1=Prices!B3,TEXT(Prices!B4,"MMM-YYYY"),TEXT(Prices!C4,"MMM-YYYY"))</f>
        <v>(as of June 1st, 2016)</v>
      </c>
      <c r="H1" s="246"/>
      <c r="I1" s="246"/>
      <c r="J1" s="246"/>
      <c r="K1" s="162"/>
      <c r="L1" s="22"/>
      <c r="M1" s="22"/>
      <c r="N1" s="22"/>
    </row>
    <row r="2" spans="1:19" x14ac:dyDescent="0.25">
      <c r="A2" s="20"/>
      <c r="B2" s="21"/>
      <c r="D2" s="23"/>
      <c r="F2" s="22"/>
      <c r="G2" s="23"/>
      <c r="H2" s="22"/>
      <c r="I2" s="23"/>
      <c r="J2" s="22"/>
      <c r="K2" s="22"/>
      <c r="L2" s="272" t="s">
        <v>142</v>
      </c>
      <c r="M2" s="273"/>
      <c r="N2" s="157"/>
      <c r="O2" s="157"/>
      <c r="P2" s="157"/>
      <c r="Q2" s="157"/>
      <c r="R2" s="157"/>
      <c r="S2" s="157"/>
    </row>
    <row r="3" spans="1:19" ht="15" customHeight="1" x14ac:dyDescent="0.25">
      <c r="A3" s="11" t="s">
        <v>1</v>
      </c>
      <c r="D3" s="130"/>
      <c r="G3" s="130"/>
      <c r="I3" s="130"/>
      <c r="L3" s="274"/>
      <c r="M3" s="275"/>
      <c r="N3" s="22"/>
    </row>
    <row r="4" spans="1:19" ht="15" customHeight="1" x14ac:dyDescent="0.25">
      <c r="A4" t="s">
        <v>18</v>
      </c>
      <c r="B4" s="78">
        <v>0.91</v>
      </c>
      <c r="D4" s="130"/>
      <c r="G4" s="130"/>
      <c r="I4" s="130"/>
      <c r="L4" s="274"/>
      <c r="M4" s="275"/>
      <c r="N4" s="22"/>
    </row>
    <row r="5" spans="1:19" x14ac:dyDescent="0.25">
      <c r="A5" t="s">
        <v>20</v>
      </c>
      <c r="B5" s="78">
        <v>0.16</v>
      </c>
      <c r="D5" s="130"/>
      <c r="G5" s="130"/>
      <c r="I5" s="130"/>
      <c r="L5" s="274"/>
      <c r="M5" s="275"/>
      <c r="N5" s="22"/>
    </row>
    <row r="6" spans="1:19" x14ac:dyDescent="0.25">
      <c r="B6" s="3"/>
      <c r="D6" s="130"/>
      <c r="G6" s="130"/>
      <c r="I6" s="130"/>
      <c r="L6" s="276"/>
      <c r="M6" s="277"/>
      <c r="N6" s="22"/>
    </row>
    <row r="7" spans="1:19" ht="30.75" thickBot="1" x14ac:dyDescent="0.3">
      <c r="A7" s="16" t="s">
        <v>0</v>
      </c>
      <c r="B7" s="16" t="s">
        <v>2</v>
      </c>
      <c r="C7" s="16" t="s">
        <v>3</v>
      </c>
      <c r="D7" s="16"/>
      <c r="E7" s="16" t="s">
        <v>17</v>
      </c>
      <c r="F7" s="16" t="s">
        <v>3</v>
      </c>
      <c r="G7" s="16"/>
      <c r="H7" s="16"/>
      <c r="I7" s="16"/>
      <c r="J7" s="16" t="s">
        <v>59</v>
      </c>
      <c r="K7" s="42"/>
      <c r="L7" s="167" t="s">
        <v>134</v>
      </c>
      <c r="M7" s="168" t="s">
        <v>135</v>
      </c>
      <c r="N7" s="22"/>
    </row>
    <row r="8" spans="1:19" x14ac:dyDescent="0.25">
      <c r="A8" t="s">
        <v>58</v>
      </c>
      <c r="B8" s="205">
        <f>0.5*(IF(C1=Prices!A1,Prices!B18,Prices!C18))+0.5*(IF(C1=Prices!A1,Prices!B17,Prices!C17))</f>
        <v>147.60000000000002</v>
      </c>
      <c r="C8" s="6" t="s">
        <v>40</v>
      </c>
      <c r="D8" s="130" t="s">
        <v>5</v>
      </c>
      <c r="E8" s="80">
        <v>550</v>
      </c>
      <c r="F8" s="6" t="s">
        <v>4</v>
      </c>
      <c r="G8" s="130" t="s">
        <v>5</v>
      </c>
      <c r="H8" s="206">
        <f>B4</f>
        <v>0.91</v>
      </c>
      <c r="I8" s="13" t="s">
        <v>6</v>
      </c>
      <c r="J8" s="4">
        <f>B8*(E8/100)*H8</f>
        <v>738.73800000000017</v>
      </c>
      <c r="K8" s="4"/>
      <c r="L8" s="145" t="s">
        <v>121</v>
      </c>
      <c r="M8" s="146" t="s">
        <v>121</v>
      </c>
      <c r="N8" s="22"/>
    </row>
    <row r="9" spans="1:19" x14ac:dyDescent="0.25">
      <c r="A9" t="s">
        <v>19</v>
      </c>
      <c r="B9" s="205">
        <f>IF(C1=Prices!A1,Prices!B19,Prices!C19)</f>
        <v>80</v>
      </c>
      <c r="C9" s="6" t="s">
        <v>40</v>
      </c>
      <c r="D9" s="130" t="s">
        <v>5</v>
      </c>
      <c r="E9" s="80">
        <v>1250</v>
      </c>
      <c r="F9" s="6" t="s">
        <v>4</v>
      </c>
      <c r="G9" s="130" t="s">
        <v>5</v>
      </c>
      <c r="H9" s="206">
        <f>B5</f>
        <v>0.16</v>
      </c>
      <c r="I9" s="13" t="s">
        <v>6</v>
      </c>
      <c r="J9" s="4">
        <f>B9*(E9/100)*H9</f>
        <v>160</v>
      </c>
      <c r="K9" s="4"/>
      <c r="L9" s="211">
        <v>1</v>
      </c>
      <c r="M9" s="147">
        <f>1-L9</f>
        <v>0</v>
      </c>
      <c r="N9" s="22"/>
    </row>
    <row r="10" spans="1:19" x14ac:dyDescent="0.25">
      <c r="A10" t="s">
        <v>76</v>
      </c>
      <c r="B10" s="1"/>
      <c r="C10" s="6"/>
      <c r="D10" s="130"/>
      <c r="E10" s="3"/>
      <c r="F10" s="6"/>
      <c r="G10" s="130"/>
      <c r="H10" s="5"/>
      <c r="I10" s="13"/>
      <c r="J10" s="79">
        <v>0</v>
      </c>
      <c r="K10" s="1"/>
      <c r="L10" s="211">
        <v>1</v>
      </c>
      <c r="M10" s="147">
        <f>1-L10</f>
        <v>0</v>
      </c>
      <c r="N10" s="22"/>
    </row>
    <row r="11" spans="1:19" x14ac:dyDescent="0.25">
      <c r="A11" s="19" t="s">
        <v>7</v>
      </c>
      <c r="B11" s="14"/>
      <c r="C11" s="14"/>
      <c r="D11" s="15"/>
      <c r="E11" s="14"/>
      <c r="F11" s="14"/>
      <c r="G11" s="15"/>
      <c r="H11" s="14"/>
      <c r="I11" s="15"/>
      <c r="J11" s="17">
        <f>SUM(J8:J10)</f>
        <v>898.73800000000017</v>
      </c>
      <c r="K11" s="17"/>
      <c r="L11" s="148"/>
      <c r="M11" s="149"/>
      <c r="N11" s="22"/>
    </row>
    <row r="12" spans="1:19" x14ac:dyDescent="0.25">
      <c r="A12" s="88"/>
      <c r="D12" s="130"/>
      <c r="G12" s="130"/>
      <c r="I12" s="130"/>
      <c r="L12" s="145"/>
      <c r="M12" s="146"/>
      <c r="N12" s="22"/>
    </row>
    <row r="13" spans="1:19" x14ac:dyDescent="0.25">
      <c r="A13" s="16" t="s">
        <v>8</v>
      </c>
      <c r="B13" s="14"/>
      <c r="C13" s="14"/>
      <c r="D13" s="15"/>
      <c r="E13" s="14"/>
      <c r="F13" s="14"/>
      <c r="G13" s="15"/>
      <c r="H13" s="14"/>
      <c r="I13" s="15"/>
      <c r="J13" s="14"/>
      <c r="K13" s="14"/>
      <c r="L13" s="148"/>
      <c r="M13" s="149"/>
      <c r="N13" s="22"/>
    </row>
    <row r="14" spans="1:19" x14ac:dyDescent="0.25">
      <c r="A14" t="s">
        <v>21</v>
      </c>
      <c r="B14" s="204">
        <f>IF(C1=Prices!A1, Prices!B12,Prices!C12)</f>
        <v>19.22</v>
      </c>
      <c r="C14" s="6" t="s">
        <v>24</v>
      </c>
      <c r="D14" s="130" t="s">
        <v>5</v>
      </c>
      <c r="E14" s="207">
        <f>Feed!C20</f>
        <v>8.82</v>
      </c>
      <c r="F14" s="6" t="s">
        <v>54</v>
      </c>
      <c r="G14" s="130"/>
      <c r="H14" s="5"/>
      <c r="I14" s="13" t="s">
        <v>6</v>
      </c>
      <c r="J14" s="84">
        <f>B14*E14</f>
        <v>169.5204</v>
      </c>
      <c r="K14" s="84"/>
      <c r="L14" s="211">
        <v>0</v>
      </c>
      <c r="M14" s="147">
        <f>1-L14</f>
        <v>1</v>
      </c>
      <c r="N14" s="22"/>
    </row>
    <row r="15" spans="1:19" x14ac:dyDescent="0.25">
      <c r="A15" t="s">
        <v>23</v>
      </c>
      <c r="B15" s="204">
        <f>IF(C1=Prices!A1, Prices!B13,Prices!C13)</f>
        <v>15</v>
      </c>
      <c r="C15" s="6" t="s">
        <v>24</v>
      </c>
      <c r="D15" s="130" t="s">
        <v>5</v>
      </c>
      <c r="E15" s="207">
        <f>Feed!C21</f>
        <v>2.08</v>
      </c>
      <c r="F15" s="6" t="s">
        <v>54</v>
      </c>
      <c r="G15" s="130"/>
      <c r="H15" s="5"/>
      <c r="I15" s="13" t="s">
        <v>6</v>
      </c>
      <c r="J15" s="84">
        <f t="shared" ref="J15" si="0">B15*E15</f>
        <v>31.200000000000003</v>
      </c>
      <c r="K15" s="84"/>
      <c r="L15" s="211">
        <v>0</v>
      </c>
      <c r="M15" s="147">
        <f t="shared" ref="M15:M37" si="1">1-L15</f>
        <v>1</v>
      </c>
      <c r="N15" s="67"/>
    </row>
    <row r="16" spans="1:19" x14ac:dyDescent="0.25">
      <c r="A16" t="s">
        <v>22</v>
      </c>
      <c r="B16" s="204">
        <f>IF(C1=Prices!A1,(((Feed!C7/Feed!C10)*Prices!B10)+((Feed!C8/Feed!C10)*Prices!B9)+((Feed!C9/Feed!C10)*Prices!B11)),((Feed!C7/Feed!C10)*Prices!C10)+((Feed!C8/Feed!C10)*Prices!C9)+((Feed!C9/Feed!C10)*Prices!C11))</f>
        <v>65</v>
      </c>
      <c r="C16" s="6" t="s">
        <v>25</v>
      </c>
      <c r="D16" s="130" t="s">
        <v>5</v>
      </c>
      <c r="E16" s="208">
        <f>Feed!C25</f>
        <v>2.0027999999999997</v>
      </c>
      <c r="F16" s="6" t="s">
        <v>55</v>
      </c>
      <c r="G16" s="130"/>
      <c r="H16" s="5"/>
      <c r="I16" s="13" t="s">
        <v>6</v>
      </c>
      <c r="J16" s="84">
        <f>B16*E16</f>
        <v>130.18199999999999</v>
      </c>
      <c r="K16" s="84"/>
      <c r="L16" s="211">
        <v>0</v>
      </c>
      <c r="M16" s="147">
        <f t="shared" si="1"/>
        <v>1</v>
      </c>
      <c r="N16" s="67"/>
    </row>
    <row r="17" spans="1:21" x14ac:dyDescent="0.25">
      <c r="A17" s="26" t="s">
        <v>27</v>
      </c>
      <c r="B17" s="204">
        <f>IF(C1=Prices!A1,(((Feed!C13/Feed!C14)*Prices!B6)+((Feed!C12/Feed!C14)*Prices!B7)+((Feed!C11/Feed!C14)*(Prices!B5*2000)/56)),(((Feed!C13/Feed!C14)*Prices!C6)+((Feed!C12/Feed!C14)*Prices!C7)+((Feed!C11/Feed!C14)*(Prices!C5*2000)/56)))</f>
        <v>151.52156825669832</v>
      </c>
      <c r="C17" s="6" t="s">
        <v>25</v>
      </c>
      <c r="D17" s="130" t="s">
        <v>5</v>
      </c>
      <c r="E17" s="207">
        <f>Feed!C29</f>
        <v>731.21</v>
      </c>
      <c r="F17" s="6" t="s">
        <v>56</v>
      </c>
      <c r="G17" s="130"/>
      <c r="H17" s="5"/>
      <c r="I17" s="13" t="s">
        <v>6</v>
      </c>
      <c r="J17" s="84">
        <f>(B17/2000)*E17</f>
        <v>55.397042962490197</v>
      </c>
      <c r="K17" s="84"/>
      <c r="L17" s="211">
        <v>0</v>
      </c>
      <c r="M17" s="147">
        <f t="shared" si="1"/>
        <v>1</v>
      </c>
      <c r="N17" s="67"/>
      <c r="O17" s="4"/>
      <c r="R17" s="4"/>
    </row>
    <row r="18" spans="1:21" x14ac:dyDescent="0.25">
      <c r="A18" t="s">
        <v>26</v>
      </c>
      <c r="B18" s="204">
        <f>IF(C1=Prices!A1,Prices!B14,Prices!C14)</f>
        <v>800</v>
      </c>
      <c r="C18" s="6" t="s">
        <v>25</v>
      </c>
      <c r="D18" s="130" t="s">
        <v>5</v>
      </c>
      <c r="E18" s="207">
        <f>Feed!C30</f>
        <v>94.9</v>
      </c>
      <c r="F18" s="6" t="s">
        <v>56</v>
      </c>
      <c r="G18" s="130"/>
      <c r="H18" s="5"/>
      <c r="I18" s="13" t="s">
        <v>6</v>
      </c>
      <c r="J18" s="84">
        <f>(B18/2000)*E18</f>
        <v>37.96</v>
      </c>
      <c r="K18" s="84"/>
      <c r="L18" s="211">
        <v>0</v>
      </c>
      <c r="M18" s="147">
        <f t="shared" si="1"/>
        <v>1</v>
      </c>
      <c r="N18" s="22"/>
      <c r="U18" s="4"/>
    </row>
    <row r="19" spans="1:21" x14ac:dyDescent="0.25">
      <c r="A19" t="s">
        <v>77</v>
      </c>
      <c r="B19" s="79">
        <v>0</v>
      </c>
      <c r="C19" s="6" t="s">
        <v>78</v>
      </c>
      <c r="D19" s="130" t="s">
        <v>42</v>
      </c>
      <c r="E19" s="81">
        <v>0</v>
      </c>
      <c r="F19" s="6" t="s">
        <v>79</v>
      </c>
      <c r="G19" s="130"/>
      <c r="H19" s="5"/>
      <c r="I19" s="13" t="s">
        <v>43</v>
      </c>
      <c r="J19" s="79">
        <f>B19*E19</f>
        <v>0</v>
      </c>
      <c r="K19" s="79"/>
      <c r="L19" s="211">
        <v>0</v>
      </c>
      <c r="M19" s="147">
        <f t="shared" si="1"/>
        <v>1</v>
      </c>
      <c r="N19" s="22"/>
      <c r="U19" s="4"/>
    </row>
    <row r="20" spans="1:21" x14ac:dyDescent="0.25">
      <c r="A20" t="s">
        <v>28</v>
      </c>
      <c r="B20" s="79">
        <v>20</v>
      </c>
      <c r="C20" s="6" t="s">
        <v>50</v>
      </c>
      <c r="D20" s="130" t="s">
        <v>42</v>
      </c>
      <c r="E20" s="81">
        <v>6</v>
      </c>
      <c r="F20" s="6" t="s">
        <v>68</v>
      </c>
      <c r="G20" s="130"/>
      <c r="H20" s="5"/>
      <c r="I20" s="13" t="s">
        <v>6</v>
      </c>
      <c r="J20" s="79">
        <f>B20*E20</f>
        <v>120</v>
      </c>
      <c r="K20" s="79"/>
      <c r="L20" s="211">
        <v>0.1</v>
      </c>
      <c r="M20" s="147">
        <f t="shared" si="1"/>
        <v>0.9</v>
      </c>
      <c r="N20" s="22"/>
    </row>
    <row r="21" spans="1:21" x14ac:dyDescent="0.25">
      <c r="A21" t="s">
        <v>29</v>
      </c>
      <c r="B21" s="79"/>
      <c r="C21" s="6"/>
      <c r="D21" s="130"/>
      <c r="E21" s="81"/>
      <c r="F21" s="6"/>
      <c r="G21" s="130"/>
      <c r="H21" s="5"/>
      <c r="I21" s="13"/>
      <c r="J21" s="79">
        <f>0.87*'Lease with Raised Repl'!J23</f>
        <v>37.409999999999997</v>
      </c>
      <c r="K21" s="79"/>
      <c r="L21" s="211">
        <v>0.5</v>
      </c>
      <c r="M21" s="147">
        <f t="shared" si="1"/>
        <v>0.5</v>
      </c>
      <c r="N21" s="22"/>
    </row>
    <row r="22" spans="1:21" x14ac:dyDescent="0.25">
      <c r="A22" s="26" t="s">
        <v>35</v>
      </c>
      <c r="B22" s="79">
        <v>1500</v>
      </c>
      <c r="C22" s="6" t="s">
        <v>33</v>
      </c>
      <c r="D22" s="130" t="s">
        <v>5</v>
      </c>
      <c r="E22" s="206">
        <f>B5</f>
        <v>0.16</v>
      </c>
      <c r="F22" s="7" t="s">
        <v>16</v>
      </c>
      <c r="G22" s="130"/>
      <c r="I22" s="13" t="s">
        <v>6</v>
      </c>
      <c r="J22" s="84">
        <f>B22*E22</f>
        <v>240</v>
      </c>
      <c r="K22" s="10"/>
      <c r="L22" s="211">
        <v>1</v>
      </c>
      <c r="M22" s="147">
        <f t="shared" si="1"/>
        <v>0</v>
      </c>
      <c r="N22" s="22"/>
    </row>
    <row r="23" spans="1:21" x14ac:dyDescent="0.25">
      <c r="A23" s="26" t="s">
        <v>71</v>
      </c>
      <c r="B23" s="1"/>
      <c r="C23" s="6"/>
      <c r="D23" s="130"/>
      <c r="E23" s="5"/>
      <c r="F23" s="7"/>
      <c r="G23" s="130"/>
      <c r="I23" s="13"/>
      <c r="J23" s="79">
        <f>0.87*'Lease with Raised Repl'!J23</f>
        <v>37.409999999999997</v>
      </c>
      <c r="K23" s="79"/>
      <c r="L23" s="211">
        <v>1</v>
      </c>
      <c r="M23" s="147">
        <f t="shared" si="1"/>
        <v>0</v>
      </c>
      <c r="N23" s="22"/>
    </row>
    <row r="24" spans="1:21" x14ac:dyDescent="0.25">
      <c r="A24" t="s">
        <v>72</v>
      </c>
      <c r="B24" s="1"/>
      <c r="C24" s="6"/>
      <c r="D24" s="130"/>
      <c r="E24" s="3"/>
      <c r="F24" s="6"/>
      <c r="G24" s="130"/>
      <c r="H24" s="5"/>
      <c r="I24" s="13"/>
      <c r="J24" s="79">
        <f>0.87*'Lease with Raised Repl'!J24</f>
        <v>20.010000000000002</v>
      </c>
      <c r="K24" s="79"/>
      <c r="L24" s="211">
        <v>0</v>
      </c>
      <c r="M24" s="147">
        <f t="shared" si="1"/>
        <v>1</v>
      </c>
      <c r="N24" s="22"/>
    </row>
    <row r="25" spans="1:21" x14ac:dyDescent="0.25">
      <c r="A25" t="s">
        <v>30</v>
      </c>
      <c r="B25" s="1"/>
      <c r="C25" s="6"/>
      <c r="D25" s="130"/>
      <c r="E25" s="3"/>
      <c r="F25" s="6"/>
      <c r="G25" s="130"/>
      <c r="H25" s="5"/>
      <c r="I25" s="13"/>
      <c r="J25" s="79">
        <f>0.87*'Lease with Raised Repl'!J25</f>
        <v>38.28</v>
      </c>
      <c r="K25" s="79"/>
      <c r="L25" s="211">
        <v>0</v>
      </c>
      <c r="M25" s="147">
        <f t="shared" si="1"/>
        <v>1</v>
      </c>
      <c r="N25" s="22"/>
    </row>
    <row r="26" spans="1:21" x14ac:dyDescent="0.25">
      <c r="A26" t="s">
        <v>51</v>
      </c>
      <c r="B26" s="1"/>
      <c r="C26" s="6"/>
      <c r="D26" s="130"/>
      <c r="E26" s="3"/>
      <c r="F26" s="6"/>
      <c r="G26" s="130"/>
      <c r="H26" s="5"/>
      <c r="I26" s="13"/>
      <c r="J26" s="79">
        <f>0.87*'Lease with Raised Repl'!J26</f>
        <v>48.72</v>
      </c>
      <c r="K26" s="79"/>
      <c r="L26" s="211">
        <v>0</v>
      </c>
      <c r="M26" s="147">
        <f t="shared" si="1"/>
        <v>1</v>
      </c>
      <c r="N26" s="22"/>
    </row>
    <row r="27" spans="1:21" x14ac:dyDescent="0.25">
      <c r="A27" s="14" t="s">
        <v>31</v>
      </c>
      <c r="B27" s="14"/>
      <c r="C27" s="36"/>
      <c r="D27" s="15"/>
      <c r="E27" s="37"/>
      <c r="F27" s="36"/>
      <c r="G27" s="15"/>
      <c r="H27" s="38"/>
      <c r="I27" s="39"/>
      <c r="J27" s="82">
        <f>0.87*'Lease with Raised Repl'!J27</f>
        <v>14.79</v>
      </c>
      <c r="K27" s="82"/>
      <c r="L27" s="212">
        <v>0.5</v>
      </c>
      <c r="M27" s="150">
        <f t="shared" si="1"/>
        <v>0.5</v>
      </c>
      <c r="N27" s="22"/>
    </row>
    <row r="28" spans="1:21" x14ac:dyDescent="0.25">
      <c r="A28" s="8" t="s">
        <v>12</v>
      </c>
      <c r="D28" s="130"/>
      <c r="G28" s="130"/>
      <c r="I28" s="130"/>
      <c r="J28" s="9">
        <f>SUM(J14:J27)</f>
        <v>980.87944296248997</v>
      </c>
      <c r="K28" s="9"/>
      <c r="L28" s="151">
        <f>SUMPRODUCT(J14:J27,L14:L27)</f>
        <v>315.51</v>
      </c>
      <c r="M28" s="152">
        <f>SUMPRODUCT(J14:J27,M14:M27)</f>
        <v>665.3694429624901</v>
      </c>
      <c r="N28" s="22"/>
    </row>
    <row r="29" spans="1:21" x14ac:dyDescent="0.25">
      <c r="D29" s="130"/>
      <c r="G29" s="130"/>
      <c r="I29" s="130"/>
      <c r="L29" s="145"/>
      <c r="M29" s="147"/>
      <c r="N29" s="22"/>
    </row>
    <row r="30" spans="1:21" x14ac:dyDescent="0.25">
      <c r="A30" s="16" t="s">
        <v>9</v>
      </c>
      <c r="B30" s="14"/>
      <c r="C30" s="14"/>
      <c r="D30" s="15"/>
      <c r="E30" s="14"/>
      <c r="F30" s="14"/>
      <c r="G30" s="15"/>
      <c r="H30" s="14"/>
      <c r="I30" s="15"/>
      <c r="J30" s="14"/>
      <c r="K30" s="14"/>
      <c r="L30" s="148"/>
      <c r="M30" s="150"/>
      <c r="N30" s="22"/>
    </row>
    <row r="31" spans="1:21" x14ac:dyDescent="0.25">
      <c r="A31" s="156" t="s">
        <v>123</v>
      </c>
      <c r="B31" s="209">
        <v>2000</v>
      </c>
      <c r="C31" s="29" t="s">
        <v>124</v>
      </c>
      <c r="D31" s="128" t="s">
        <v>42</v>
      </c>
      <c r="E31" s="210">
        <v>0.06</v>
      </c>
      <c r="F31" s="46" t="s">
        <v>125</v>
      </c>
      <c r="G31" s="128"/>
      <c r="H31" s="29"/>
      <c r="I31" s="128" t="s">
        <v>43</v>
      </c>
      <c r="J31" s="155">
        <f>B31*E31</f>
        <v>120</v>
      </c>
      <c r="K31" s="155"/>
      <c r="L31" s="211">
        <v>1</v>
      </c>
      <c r="M31" s="147">
        <f>1-L31</f>
        <v>0</v>
      </c>
      <c r="N31" s="22"/>
    </row>
    <row r="32" spans="1:21" x14ac:dyDescent="0.25">
      <c r="A32" s="156" t="s">
        <v>138</v>
      </c>
      <c r="B32" s="209">
        <v>2000</v>
      </c>
      <c r="C32" s="29" t="s">
        <v>124</v>
      </c>
      <c r="D32" s="160" t="s">
        <v>42</v>
      </c>
      <c r="E32" s="210">
        <v>0.01</v>
      </c>
      <c r="F32" s="46" t="s">
        <v>137</v>
      </c>
      <c r="G32" s="160"/>
      <c r="H32" s="29"/>
      <c r="I32" s="160" t="s">
        <v>43</v>
      </c>
      <c r="J32" s="155">
        <f>B32*E32</f>
        <v>20</v>
      </c>
      <c r="K32" s="155"/>
      <c r="L32" s="172">
        <f>L31</f>
        <v>1</v>
      </c>
      <c r="M32" s="147">
        <f t="shared" ref="M32:M33" si="2">1-L32</f>
        <v>0</v>
      </c>
      <c r="N32" s="22"/>
    </row>
    <row r="33" spans="1:20" x14ac:dyDescent="0.25">
      <c r="A33" s="156" t="s">
        <v>136</v>
      </c>
      <c r="B33" s="153"/>
      <c r="C33" s="29"/>
      <c r="D33" s="160"/>
      <c r="E33" s="154"/>
      <c r="F33" s="46"/>
      <c r="G33" s="160"/>
      <c r="H33" s="29"/>
      <c r="I33" s="160"/>
      <c r="J33" s="213">
        <v>0</v>
      </c>
      <c r="K33" s="155"/>
      <c r="L33" s="211">
        <f>L31</f>
        <v>1</v>
      </c>
      <c r="M33" s="147">
        <f t="shared" si="2"/>
        <v>0</v>
      </c>
      <c r="N33" s="22"/>
    </row>
    <row r="34" spans="1:20" x14ac:dyDescent="0.25">
      <c r="A34" t="s">
        <v>126</v>
      </c>
      <c r="D34" s="130"/>
      <c r="G34" s="130"/>
      <c r="I34" s="130"/>
      <c r="J34" s="79">
        <v>57</v>
      </c>
      <c r="K34" s="79"/>
      <c r="L34" s="211">
        <v>0</v>
      </c>
      <c r="M34" s="147">
        <f t="shared" si="1"/>
        <v>1</v>
      </c>
      <c r="N34" s="22"/>
    </row>
    <row r="35" spans="1:20" x14ac:dyDescent="0.25">
      <c r="A35" t="s">
        <v>53</v>
      </c>
      <c r="D35" s="130"/>
      <c r="G35" s="130"/>
      <c r="I35" s="130"/>
      <c r="J35" s="79">
        <v>7</v>
      </c>
      <c r="K35" s="79"/>
      <c r="L35" s="211">
        <v>0</v>
      </c>
      <c r="M35" s="147">
        <f t="shared" si="1"/>
        <v>1</v>
      </c>
      <c r="N35" s="22"/>
    </row>
    <row r="36" spans="1:20" x14ac:dyDescent="0.25">
      <c r="A36" t="s">
        <v>52</v>
      </c>
      <c r="D36" s="130"/>
      <c r="G36" s="130"/>
      <c r="I36" s="130"/>
      <c r="J36" s="79">
        <f>0.87*'Lease with Raised Repl'!J36</f>
        <v>11.31</v>
      </c>
      <c r="K36" s="79"/>
      <c r="L36" s="211">
        <v>0.5</v>
      </c>
      <c r="M36" s="147">
        <f>1-L36</f>
        <v>0.5</v>
      </c>
      <c r="N36" s="22"/>
    </row>
    <row r="37" spans="1:20" x14ac:dyDescent="0.25">
      <c r="A37" s="47" t="s">
        <v>57</v>
      </c>
      <c r="B37" s="14"/>
      <c r="C37" s="14"/>
      <c r="D37" s="15"/>
      <c r="E37" s="14"/>
      <c r="F37" s="14"/>
      <c r="G37" s="15"/>
      <c r="H37" s="14"/>
      <c r="I37" s="15"/>
      <c r="J37" s="82">
        <v>0</v>
      </c>
      <c r="K37" s="82"/>
      <c r="L37" s="212">
        <v>0.5</v>
      </c>
      <c r="M37" s="150">
        <f t="shared" si="1"/>
        <v>0.5</v>
      </c>
      <c r="N37" s="22"/>
    </row>
    <row r="38" spans="1:20" x14ac:dyDescent="0.25">
      <c r="A38" s="8" t="s">
        <v>10</v>
      </c>
      <c r="D38" s="130"/>
      <c r="G38" s="130"/>
      <c r="I38" s="130"/>
      <c r="J38" s="9">
        <f>SUM(J31:J37)</f>
        <v>215.31</v>
      </c>
      <c r="K38" s="9"/>
      <c r="L38" s="151">
        <f>SUMPRODUCT(J31:J37,L31:L37)</f>
        <v>145.655</v>
      </c>
      <c r="M38" s="152">
        <f>SUMPRODUCT(J31:J37,M31:M37)</f>
        <v>69.655000000000001</v>
      </c>
      <c r="N38" s="22"/>
    </row>
    <row r="39" spans="1:20" x14ac:dyDescent="0.25">
      <c r="D39" s="130"/>
      <c r="G39" s="130"/>
      <c r="I39" s="130"/>
      <c r="L39" s="145"/>
      <c r="M39" s="146"/>
      <c r="N39" s="22"/>
    </row>
    <row r="40" spans="1:20" ht="15" customHeight="1" thickBot="1" x14ac:dyDescent="0.3">
      <c r="A40" s="16" t="s">
        <v>11</v>
      </c>
      <c r="B40" s="14"/>
      <c r="C40" s="14"/>
      <c r="D40" s="15"/>
      <c r="E40" s="14"/>
      <c r="F40" s="14"/>
      <c r="G40" s="15"/>
      <c r="H40" s="14"/>
      <c r="I40" s="15"/>
      <c r="J40" s="17">
        <f>J28+J38</f>
        <v>1196.1894429624899</v>
      </c>
      <c r="K40" s="18"/>
      <c r="L40" s="173">
        <f>SUM(L28,L38)</f>
        <v>461.16499999999996</v>
      </c>
      <c r="M40" s="174">
        <f>SUM(M28,M38)</f>
        <v>735.02444296249007</v>
      </c>
      <c r="N40" s="22"/>
    </row>
    <row r="41" spans="1:20" ht="28.5" customHeight="1" thickTop="1" x14ac:dyDescent="0.25">
      <c r="A41" s="28"/>
      <c r="B41" s="29"/>
      <c r="C41" s="29"/>
      <c r="D41" s="128"/>
      <c r="E41" s="29"/>
      <c r="F41" s="29"/>
      <c r="G41" s="128"/>
      <c r="H41" s="29"/>
      <c r="I41" s="128"/>
      <c r="J41" s="18"/>
      <c r="K41" s="18"/>
      <c r="L41" s="191">
        <f>L40-SUMPRODUCT(L9:L10,J9:J10)</f>
        <v>301.16499999999996</v>
      </c>
      <c r="M41" s="192">
        <f>M40-SUMPRODUCT(M9:M10,J9:J10)</f>
        <v>735.02444296249007</v>
      </c>
      <c r="N41" s="253" t="s">
        <v>140</v>
      </c>
      <c r="O41" s="253"/>
      <c r="P41" s="253"/>
      <c r="Q41" s="254"/>
      <c r="R41" s="29"/>
      <c r="S41" s="29"/>
      <c r="T41" s="29"/>
    </row>
    <row r="42" spans="1:20" ht="30.75" customHeight="1" x14ac:dyDescent="0.25">
      <c r="A42" t="s">
        <v>32</v>
      </c>
      <c r="D42" s="130"/>
      <c r="G42" s="130"/>
      <c r="I42" s="130"/>
      <c r="J42" s="4">
        <f>J11-J28</f>
        <v>-82.141442962489805</v>
      </c>
      <c r="K42" s="4"/>
      <c r="L42" s="193">
        <f>L41/SUM(L41,M41)</f>
        <v>0.2906466593009886</v>
      </c>
      <c r="M42" s="194">
        <f>M41/(SUM(L41,M41))</f>
        <v>0.70935334069901146</v>
      </c>
      <c r="N42" s="255" t="s">
        <v>141</v>
      </c>
      <c r="O42" s="255"/>
      <c r="P42" s="255"/>
      <c r="Q42" s="256"/>
      <c r="R42" s="29"/>
      <c r="S42" s="29"/>
      <c r="T42" s="29"/>
    </row>
    <row r="43" spans="1:20" ht="27.75" customHeight="1" thickBot="1" x14ac:dyDescent="0.3">
      <c r="A43" s="2" t="s">
        <v>13</v>
      </c>
      <c r="D43" s="130"/>
      <c r="G43" s="130"/>
      <c r="I43" s="130"/>
      <c r="J43" s="24">
        <f>J11-J40</f>
        <v>-297.45144296248975</v>
      </c>
      <c r="K43" s="18"/>
      <c r="L43" s="189">
        <f>L42*J8</f>
        <v>214.71173179869376</v>
      </c>
      <c r="M43" s="190">
        <f>M42*J8</f>
        <v>524.02626820130649</v>
      </c>
      <c r="N43" s="257" t="s">
        <v>122</v>
      </c>
      <c r="O43" s="257"/>
      <c r="P43" s="257"/>
      <c r="Q43" s="258"/>
      <c r="R43" s="29"/>
      <c r="S43" s="29"/>
      <c r="T43" s="29"/>
    </row>
    <row r="44" spans="1:20" ht="15.75" thickTop="1" x14ac:dyDescent="0.25">
      <c r="Q44" s="29"/>
    </row>
    <row r="45" spans="1:20" ht="10.5" customHeight="1" x14ac:dyDescent="0.25">
      <c r="A45" s="28"/>
      <c r="B45" s="29"/>
      <c r="C45" s="29"/>
      <c r="D45" s="128"/>
      <c r="E45" s="29"/>
      <c r="F45" s="29"/>
      <c r="G45" s="128"/>
      <c r="H45" s="29"/>
      <c r="I45" s="128"/>
      <c r="J45" s="18"/>
      <c r="K45" s="18"/>
    </row>
    <row r="46" spans="1:20" ht="11.25" customHeight="1" x14ac:dyDescent="0.25">
      <c r="A46" s="247" t="s">
        <v>41</v>
      </c>
      <c r="B46" s="248"/>
      <c r="C46" s="248"/>
      <c r="D46" s="248"/>
      <c r="E46" s="248"/>
      <c r="F46" s="248"/>
      <c r="G46" s="248"/>
      <c r="H46" s="248"/>
      <c r="I46" s="248"/>
      <c r="J46" s="248"/>
      <c r="K46" s="163"/>
    </row>
    <row r="47" spans="1:20" ht="15.75" x14ac:dyDescent="0.25">
      <c r="A47" s="129" t="s">
        <v>133</v>
      </c>
      <c r="B47" s="129"/>
      <c r="C47" s="129"/>
      <c r="D47" s="129"/>
      <c r="E47" s="129"/>
      <c r="F47" s="129"/>
      <c r="G47" s="129"/>
      <c r="H47" s="129"/>
      <c r="I47" s="251" t="str">
        <f>TEXT(Introduction!L8,"MMM. DD, YYYY")</f>
        <v>Version- 6.1.2016</v>
      </c>
      <c r="J47" s="251"/>
      <c r="K47" s="164"/>
    </row>
    <row r="48" spans="1:20" ht="16.5" customHeight="1" x14ac:dyDescent="0.25">
      <c r="B48" s="35"/>
    </row>
    <row r="49" spans="1:11" ht="22.5" customHeight="1" thickBot="1" x14ac:dyDescent="0.35">
      <c r="A49" s="249" t="str">
        <f>A1</f>
        <v xml:space="preserve"> KSU Beef Cow Lease</v>
      </c>
      <c r="B49" s="250"/>
      <c r="C49" s="240"/>
      <c r="D49" s="240"/>
      <c r="E49" s="240"/>
      <c r="F49" s="240"/>
      <c r="G49" s="241"/>
      <c r="H49" s="241"/>
      <c r="I49" s="241"/>
      <c r="J49" s="241"/>
      <c r="K49" s="165"/>
    </row>
    <row r="50" spans="1:11" ht="27" customHeight="1" x14ac:dyDescent="0.25"/>
    <row r="92" spans="1:11" ht="32.25" customHeight="1" x14ac:dyDescent="0.25"/>
    <row r="93" spans="1:11" ht="17.25" customHeight="1" x14ac:dyDescent="0.25">
      <c r="A93" s="247" t="s">
        <v>41</v>
      </c>
      <c r="B93" s="248"/>
      <c r="C93" s="248"/>
      <c r="D93" s="248"/>
      <c r="E93" s="248"/>
      <c r="F93" s="248"/>
      <c r="G93" s="248"/>
      <c r="H93" s="248"/>
      <c r="I93" s="248"/>
      <c r="J93" s="248"/>
      <c r="K93" s="163"/>
    </row>
    <row r="94" spans="1:11" ht="15.75" x14ac:dyDescent="0.25">
      <c r="A94" s="129" t="str">
        <f>A47</f>
        <v>Publication: AM-FMG-CowLease</v>
      </c>
      <c r="B94" s="129"/>
      <c r="C94" s="129"/>
      <c r="D94" s="129"/>
      <c r="E94" s="129"/>
      <c r="F94" s="129"/>
      <c r="G94" s="129"/>
      <c r="H94" s="129"/>
      <c r="I94" s="259" t="str">
        <f>I47</f>
        <v>Version- 6.1.2016</v>
      </c>
      <c r="J94" s="259"/>
      <c r="K94" s="166"/>
    </row>
    <row r="95" spans="1:11" ht="16.5" customHeight="1" x14ac:dyDescent="0.25">
      <c r="A95" s="53"/>
      <c r="B95" s="53"/>
      <c r="C95" s="53"/>
      <c r="D95" s="53"/>
      <c r="E95" s="53"/>
      <c r="F95" s="53"/>
      <c r="G95" s="53"/>
      <c r="H95" s="53"/>
      <c r="I95" s="53"/>
      <c r="J95" s="53"/>
      <c r="K95" s="53"/>
    </row>
    <row r="96" spans="1:11" ht="22.5" customHeight="1" thickBot="1" x14ac:dyDescent="0.35">
      <c r="A96" s="249" t="str">
        <f>A1</f>
        <v xml:space="preserve"> KSU Beef Cow Lease</v>
      </c>
      <c r="B96" s="250"/>
      <c r="C96" s="240"/>
      <c r="D96" s="240"/>
      <c r="E96" s="240"/>
      <c r="F96" s="240"/>
      <c r="G96" s="241"/>
      <c r="H96" s="241"/>
      <c r="I96" s="241"/>
      <c r="J96" s="241"/>
      <c r="K96" s="165"/>
    </row>
    <row r="97" spans="1:11" ht="22.5" customHeight="1" x14ac:dyDescent="0.3">
      <c r="A97" s="169"/>
      <c r="B97" s="170"/>
      <c r="C97" s="171"/>
      <c r="D97" s="171"/>
      <c r="E97" s="171"/>
      <c r="F97" s="171"/>
      <c r="G97" s="165"/>
      <c r="H97" s="165"/>
      <c r="I97" s="165"/>
      <c r="J97" s="165"/>
      <c r="K97" s="165"/>
    </row>
    <row r="98" spans="1:11" ht="42" customHeight="1" x14ac:dyDescent="0.3">
      <c r="A98" s="169"/>
      <c r="B98" s="170"/>
      <c r="C98" s="171"/>
      <c r="D98" s="171"/>
      <c r="E98" s="171"/>
      <c r="F98" s="171"/>
      <c r="G98" s="165"/>
      <c r="H98" s="165"/>
      <c r="I98" s="165"/>
      <c r="J98" s="165"/>
      <c r="K98" s="165"/>
    </row>
    <row r="99" spans="1:11" ht="57" customHeight="1" x14ac:dyDescent="0.3">
      <c r="A99" s="169"/>
      <c r="B99" s="170"/>
      <c r="C99" s="171"/>
      <c r="D99" s="171"/>
      <c r="E99" s="171"/>
      <c r="F99" s="171"/>
      <c r="G99" s="165"/>
      <c r="H99" s="165"/>
      <c r="I99" s="165"/>
      <c r="J99" s="165"/>
      <c r="K99" s="165"/>
    </row>
    <row r="100" spans="1:11" ht="72" customHeight="1" x14ac:dyDescent="0.3">
      <c r="A100" s="169"/>
      <c r="B100" s="170"/>
      <c r="C100" s="171"/>
      <c r="D100" s="171"/>
      <c r="E100" s="171"/>
      <c r="F100" s="171"/>
      <c r="G100" s="165"/>
      <c r="H100" s="165"/>
      <c r="I100" s="165"/>
      <c r="J100" s="165"/>
      <c r="K100" s="165"/>
    </row>
    <row r="101" spans="1:11" ht="27" customHeight="1" x14ac:dyDescent="0.25">
      <c r="A101" s="54" t="s">
        <v>69</v>
      </c>
    </row>
    <row r="102" spans="1:11" ht="4.5" customHeight="1" x14ac:dyDescent="0.25"/>
    <row r="103" spans="1:11" ht="15.75" thickBot="1" x14ac:dyDescent="0.3">
      <c r="A103" s="45" t="s">
        <v>48</v>
      </c>
      <c r="B103" s="44" t="s">
        <v>139</v>
      </c>
      <c r="C103" s="44"/>
      <c r="D103" s="44"/>
      <c r="E103" s="44"/>
    </row>
    <row r="104" spans="1:11" x14ac:dyDescent="0.25">
      <c r="A104" s="28"/>
      <c r="B104" s="16" t="s">
        <v>17</v>
      </c>
      <c r="C104" s="16" t="s">
        <v>3</v>
      </c>
      <c r="D104" s="29"/>
      <c r="E104" s="29"/>
    </row>
    <row r="105" spans="1:11" x14ac:dyDescent="0.25">
      <c r="A105" t="s">
        <v>21</v>
      </c>
      <c r="B105" s="43">
        <f>Feed!C20</f>
        <v>8.82</v>
      </c>
      <c r="C105" s="6" t="s">
        <v>64</v>
      </c>
      <c r="D105" s="6"/>
    </row>
    <row r="106" spans="1:11" x14ac:dyDescent="0.25">
      <c r="A106" t="s">
        <v>63</v>
      </c>
      <c r="B106" s="43">
        <f>Feed!C21</f>
        <v>2.08</v>
      </c>
      <c r="C106" s="6" t="s">
        <v>64</v>
      </c>
      <c r="D106" s="6"/>
    </row>
    <row r="107" spans="1:11" x14ac:dyDescent="0.25">
      <c r="A107" s="131" t="s">
        <v>74</v>
      </c>
      <c r="B107" s="43">
        <f>Feed!C22</f>
        <v>2.0027999999999997</v>
      </c>
      <c r="C107" s="6" t="s">
        <v>65</v>
      </c>
      <c r="D107" s="6"/>
    </row>
    <row r="108" spans="1:11" x14ac:dyDescent="0.25">
      <c r="A108" s="131" t="s">
        <v>62</v>
      </c>
      <c r="B108" s="43">
        <f>Feed!C23</f>
        <v>0</v>
      </c>
      <c r="C108" s="6" t="s">
        <v>65</v>
      </c>
      <c r="D108" s="6"/>
    </row>
    <row r="109" spans="1:11" x14ac:dyDescent="0.25">
      <c r="A109" s="131" t="s">
        <v>44</v>
      </c>
      <c r="B109" s="43">
        <f>Feed!C24</f>
        <v>0</v>
      </c>
      <c r="C109" s="6" t="s">
        <v>65</v>
      </c>
      <c r="D109" s="6"/>
    </row>
    <row r="110" spans="1:11" x14ac:dyDescent="0.25">
      <c r="A110" t="s">
        <v>61</v>
      </c>
      <c r="B110" s="43">
        <f>Feed!C25</f>
        <v>2.0027999999999997</v>
      </c>
      <c r="C110" s="6" t="s">
        <v>65</v>
      </c>
      <c r="D110" s="6"/>
    </row>
    <row r="111" spans="1:11" x14ac:dyDescent="0.25">
      <c r="A111" s="131" t="s">
        <v>45</v>
      </c>
      <c r="B111" s="43">
        <f>Feed!C26</f>
        <v>0</v>
      </c>
      <c r="C111" s="6" t="s">
        <v>66</v>
      </c>
      <c r="D111" s="6"/>
    </row>
    <row r="112" spans="1:11" x14ac:dyDescent="0.25">
      <c r="A112" s="131" t="s">
        <v>46</v>
      </c>
      <c r="B112" s="43">
        <f>Feed!C27</f>
        <v>731.21</v>
      </c>
      <c r="C112" s="6" t="s">
        <v>66</v>
      </c>
      <c r="D112" s="6"/>
    </row>
    <row r="113" spans="1:6" x14ac:dyDescent="0.25">
      <c r="A113" s="131" t="s">
        <v>47</v>
      </c>
      <c r="B113" s="43">
        <f>Feed!C28</f>
        <v>0</v>
      </c>
      <c r="C113" s="6" t="s">
        <v>66</v>
      </c>
      <c r="D113" s="6"/>
    </row>
    <row r="114" spans="1:6" x14ac:dyDescent="0.25">
      <c r="A114" t="s">
        <v>60</v>
      </c>
      <c r="B114" s="43">
        <f>Feed!C29</f>
        <v>731.21</v>
      </c>
      <c r="C114" s="6" t="s">
        <v>66</v>
      </c>
      <c r="D114" s="6"/>
    </row>
    <row r="115" spans="1:6" x14ac:dyDescent="0.25">
      <c r="A115" t="s">
        <v>39</v>
      </c>
      <c r="B115" s="43">
        <f>Feed!C30</f>
        <v>94.9</v>
      </c>
      <c r="C115" s="6" t="s">
        <v>66</v>
      </c>
      <c r="D115" s="6"/>
    </row>
    <row r="117" spans="1:6" ht="15.75" thickBot="1" x14ac:dyDescent="0.3">
      <c r="A117" s="45" t="s">
        <v>75</v>
      </c>
      <c r="B117" s="44"/>
      <c r="C117" s="44"/>
      <c r="D117" s="44"/>
      <c r="E117" s="29"/>
      <c r="F117" s="29"/>
    </row>
    <row r="118" spans="1:6" x14ac:dyDescent="0.25">
      <c r="A118" s="49"/>
      <c r="B118" s="55">
        <v>2016</v>
      </c>
      <c r="C118" s="242" t="s">
        <v>70</v>
      </c>
      <c r="D118" s="242"/>
    </row>
    <row r="119" spans="1:6" ht="30" customHeight="1" x14ac:dyDescent="0.25">
      <c r="A119" t="str">
        <f>Prices!A5</f>
        <v>Corn ($/bu)</v>
      </c>
      <c r="B119" s="50">
        <f>Prices!B5</f>
        <v>4.03</v>
      </c>
      <c r="C119" s="238">
        <f>Prices!C5</f>
        <v>3.7</v>
      </c>
      <c r="D119" s="239"/>
    </row>
    <row r="120" spans="1:6" x14ac:dyDescent="0.25">
      <c r="A120" t="str">
        <f>Prices!A7</f>
        <v>DDGS ($/ton)</v>
      </c>
      <c r="B120" s="50">
        <f>Prices!B7</f>
        <v>152.5</v>
      </c>
      <c r="C120" s="238">
        <f>Prices!C7</f>
        <v>140.01240694789081</v>
      </c>
      <c r="D120" s="239"/>
    </row>
    <row r="121" spans="1:6" x14ac:dyDescent="0.25">
      <c r="A121" t="str">
        <f>Prices!A10</f>
        <v>Prairie Hay ($/ton)</v>
      </c>
      <c r="B121" s="50">
        <f>Prices!B10</f>
        <v>65</v>
      </c>
      <c r="C121" s="238">
        <f>Prices!C10</f>
        <v>59.677419354838712</v>
      </c>
      <c r="D121" s="239"/>
    </row>
    <row r="122" spans="1:6" x14ac:dyDescent="0.25">
      <c r="A122" t="str">
        <f>Prices!A12</f>
        <v>Pasture Rental ($/acre)</v>
      </c>
      <c r="B122" s="50">
        <f>Prices!B12</f>
        <v>19.22</v>
      </c>
      <c r="C122" s="238">
        <f>Prices!C12</f>
        <v>21.141999999999999</v>
      </c>
      <c r="D122" s="239"/>
    </row>
    <row r="123" spans="1:6" x14ac:dyDescent="0.25">
      <c r="A123" t="str">
        <f>Prices!A13</f>
        <v>Crop Residue ($/acre)</v>
      </c>
      <c r="B123" s="50">
        <f>Prices!B13</f>
        <v>15</v>
      </c>
      <c r="C123" s="238">
        <f>Prices!C13</f>
        <v>16.5</v>
      </c>
      <c r="D123" s="239"/>
    </row>
    <row r="124" spans="1:6" x14ac:dyDescent="0.25">
      <c r="A124" t="str">
        <f>Prices!A14</f>
        <v>Beef Cow Mineral ($/ton)</v>
      </c>
      <c r="B124" s="50">
        <f>Prices!B14</f>
        <v>800</v>
      </c>
      <c r="C124" s="238">
        <f>Prices!C14</f>
        <v>880.00000000000011</v>
      </c>
      <c r="D124" s="239"/>
    </row>
    <row r="125" spans="1:6" x14ac:dyDescent="0.25">
      <c r="A125" t="str">
        <f>Prices!A17</f>
        <v>Oct. Heifer Calf Price ($/cwt)*</v>
      </c>
      <c r="B125" s="50">
        <f>Prices!B17</f>
        <v>142.65</v>
      </c>
      <c r="C125" s="238">
        <f>Prices!C17</f>
        <v>175.44407079646018</v>
      </c>
      <c r="D125" s="238"/>
      <c r="E125" s="127"/>
      <c r="F125" s="128"/>
    </row>
    <row r="126" spans="1:6" x14ac:dyDescent="0.25">
      <c r="A126" t="str">
        <f>Prices!A18</f>
        <v>Oct. Steer Calves Price ($/cwt)*</v>
      </c>
      <c r="B126" s="50">
        <f>Prices!B18</f>
        <v>152.55000000000001</v>
      </c>
      <c r="C126" s="238">
        <f>Prices!C18</f>
        <v>187.62</v>
      </c>
      <c r="D126" s="238"/>
      <c r="E126" s="127"/>
      <c r="F126" s="128"/>
    </row>
    <row r="127" spans="1:6" x14ac:dyDescent="0.25">
      <c r="A127" t="str">
        <f>Prices!A19</f>
        <v>Beef Cull cow ($/cwt)*****</v>
      </c>
      <c r="B127" s="50">
        <f>Prices!B19</f>
        <v>80</v>
      </c>
      <c r="C127" s="238">
        <f>Prices!C19</f>
        <v>85.916376606076227</v>
      </c>
      <c r="D127" s="238"/>
      <c r="E127" s="127"/>
      <c r="F127" s="128"/>
    </row>
    <row r="128" spans="1:6" x14ac:dyDescent="0.25">
      <c r="B128" s="50"/>
      <c r="C128" s="127"/>
      <c r="D128" s="128"/>
      <c r="E128" s="127"/>
      <c r="F128" s="128"/>
    </row>
    <row r="129" spans="1:11" x14ac:dyDescent="0.25">
      <c r="A129" s="6" t="str">
        <f>Prices!A21</f>
        <v>* This a predicted October price for the budget year</v>
      </c>
      <c r="B129" s="124"/>
      <c r="C129" s="125"/>
      <c r="D129" s="126"/>
      <c r="E129" s="125"/>
      <c r="F129" s="126"/>
      <c r="G129" s="6"/>
      <c r="H129" s="6"/>
      <c r="I129" s="6"/>
      <c r="J129" s="6"/>
      <c r="K129" s="6"/>
    </row>
    <row r="130" spans="1:11" s="6" customFormat="1" x14ac:dyDescent="0.25">
      <c r="A130" s="6" t="str">
        <f>Prices!A22</f>
        <v>*****This a current cull cow price for the date of the latest price update</v>
      </c>
      <c r="B130" s="124"/>
      <c r="C130" s="125"/>
      <c r="D130" s="126"/>
      <c r="E130" s="125"/>
      <c r="F130" s="126"/>
    </row>
    <row r="131" spans="1:11" s="6" customFormat="1" x14ac:dyDescent="0.25">
      <c r="A131"/>
      <c r="B131" s="50"/>
      <c r="C131" s="127"/>
      <c r="D131" s="128"/>
      <c r="E131" s="127"/>
      <c r="F131" s="128"/>
      <c r="G131"/>
      <c r="H131"/>
      <c r="I131"/>
      <c r="J131"/>
      <c r="K131"/>
    </row>
    <row r="132" spans="1:11" ht="63" customHeight="1" x14ac:dyDescent="0.25"/>
    <row r="133" spans="1:11" ht="17.25" customHeight="1" x14ac:dyDescent="0.25">
      <c r="A133" s="247" t="s">
        <v>41</v>
      </c>
      <c r="B133" s="248"/>
      <c r="C133" s="248"/>
      <c r="D133" s="248"/>
      <c r="E133" s="248"/>
      <c r="F133" s="248"/>
      <c r="G133" s="248"/>
      <c r="H133" s="248"/>
      <c r="I133" s="248"/>
      <c r="J133" s="248"/>
      <c r="K133" s="163"/>
    </row>
    <row r="134" spans="1:11" ht="15.75" x14ac:dyDescent="0.25">
      <c r="A134" s="129" t="str">
        <f>A94</f>
        <v>Publication: AM-FMG-CowLease</v>
      </c>
      <c r="B134" s="129"/>
      <c r="C134" s="129"/>
      <c r="D134" s="129"/>
      <c r="E134" s="129"/>
      <c r="F134" s="129"/>
      <c r="G134" s="129"/>
      <c r="H134" s="129"/>
      <c r="I134" s="259" t="str">
        <f>I94</f>
        <v>Version- 6.1.2016</v>
      </c>
      <c r="J134" s="259"/>
      <c r="K134" s="166"/>
    </row>
    <row r="188" spans="1:17" ht="18.75" x14ac:dyDescent="0.25">
      <c r="A188" s="243" t="s">
        <v>132</v>
      </c>
      <c r="B188" s="244"/>
      <c r="C188" s="245" t="str">
        <f>C1</f>
        <v>2016 Production Year</v>
      </c>
      <c r="D188" s="245"/>
      <c r="E188" s="245"/>
      <c r="F188" s="245"/>
      <c r="G188" s="246" t="str">
        <f>G1</f>
        <v>(as of June 1st, 2016)</v>
      </c>
      <c r="H188" s="246"/>
      <c r="I188" s="246"/>
      <c r="J188" s="246"/>
      <c r="K188" s="162"/>
      <c r="L188" s="22"/>
      <c r="M188" s="22"/>
      <c r="N188" s="22"/>
    </row>
    <row r="189" spans="1:17" x14ac:dyDescent="0.25">
      <c r="A189" s="20"/>
      <c r="B189" s="21"/>
      <c r="D189" s="23"/>
      <c r="F189" s="22"/>
      <c r="G189" s="23"/>
      <c r="H189" s="22"/>
      <c r="I189" s="23"/>
      <c r="J189" s="22"/>
      <c r="K189" s="22"/>
      <c r="L189" s="157"/>
      <c r="M189" s="157"/>
      <c r="N189" s="157"/>
      <c r="O189" s="157"/>
      <c r="P189" s="157"/>
      <c r="Q189" s="157"/>
    </row>
    <row r="190" spans="1:17" x14ac:dyDescent="0.25">
      <c r="A190" s="11" t="s">
        <v>1</v>
      </c>
      <c r="D190" s="130"/>
      <c r="G190" s="130"/>
      <c r="I190" s="130"/>
      <c r="L190" s="22"/>
    </row>
    <row r="191" spans="1:17" x14ac:dyDescent="0.25">
      <c r="A191" t="s">
        <v>18</v>
      </c>
      <c r="B191" s="185">
        <f>B4</f>
        <v>0.91</v>
      </c>
      <c r="D191" s="130"/>
      <c r="G191" s="130"/>
      <c r="I191" s="130"/>
      <c r="L191" s="22"/>
    </row>
    <row r="192" spans="1:17" x14ac:dyDescent="0.25">
      <c r="A192" t="s">
        <v>20</v>
      </c>
      <c r="B192" s="185">
        <f>B5</f>
        <v>0.16</v>
      </c>
      <c r="D192" s="130"/>
      <c r="G192" s="130"/>
      <c r="I192" s="130"/>
      <c r="L192" s="22"/>
    </row>
    <row r="193" spans="1:12" x14ac:dyDescent="0.25">
      <c r="B193" s="3"/>
      <c r="D193" s="130"/>
      <c r="G193" s="130"/>
      <c r="I193" s="130"/>
      <c r="L193" s="22"/>
    </row>
    <row r="194" spans="1:12" ht="37.5" customHeight="1" x14ac:dyDescent="0.25">
      <c r="A194" s="16" t="s">
        <v>0</v>
      </c>
      <c r="B194" s="16" t="s">
        <v>59</v>
      </c>
      <c r="C194" s="179" t="s">
        <v>134</v>
      </c>
      <c r="D194" s="260" t="s">
        <v>135</v>
      </c>
      <c r="E194" s="260"/>
    </row>
    <row r="195" spans="1:12" x14ac:dyDescent="0.25">
      <c r="A195" t="s">
        <v>58</v>
      </c>
      <c r="B195" s="4">
        <f>J8</f>
        <v>738.73800000000017</v>
      </c>
      <c r="C195" s="180" t="str">
        <f>L8</f>
        <v>Split</v>
      </c>
      <c r="D195" s="261" t="s">
        <v>121</v>
      </c>
      <c r="E195" s="261"/>
    </row>
    <row r="196" spans="1:12" x14ac:dyDescent="0.25">
      <c r="A196" t="s">
        <v>19</v>
      </c>
      <c r="B196" s="4">
        <f t="shared" ref="B196:B230" si="3">J9</f>
        <v>160</v>
      </c>
      <c r="C196" s="180">
        <f t="shared" ref="C196:C230" si="4">L9</f>
        <v>1</v>
      </c>
      <c r="D196" s="262">
        <f>1-C196</f>
        <v>0</v>
      </c>
      <c r="E196" s="262"/>
    </row>
    <row r="197" spans="1:12" x14ac:dyDescent="0.25">
      <c r="A197" t="s">
        <v>76</v>
      </c>
      <c r="B197" s="4">
        <f t="shared" si="3"/>
        <v>0</v>
      </c>
      <c r="C197" s="180">
        <f t="shared" si="4"/>
        <v>1</v>
      </c>
      <c r="D197" s="262">
        <f>1-C197</f>
        <v>0</v>
      </c>
      <c r="E197" s="262"/>
    </row>
    <row r="198" spans="1:12" x14ac:dyDescent="0.25">
      <c r="A198" s="19" t="s">
        <v>7</v>
      </c>
      <c r="B198" s="17">
        <f>J11</f>
        <v>898.73800000000017</v>
      </c>
      <c r="C198" s="184"/>
      <c r="D198" s="263"/>
      <c r="E198" s="263"/>
    </row>
    <row r="199" spans="1:12" x14ac:dyDescent="0.25">
      <c r="A199" s="88"/>
      <c r="B199" s="4"/>
      <c r="C199" s="180"/>
      <c r="D199" s="261"/>
      <c r="E199" s="261"/>
    </row>
    <row r="200" spans="1:12" x14ac:dyDescent="0.25">
      <c r="A200" s="16" t="s">
        <v>8</v>
      </c>
      <c r="B200" s="178"/>
      <c r="C200" s="184"/>
      <c r="D200" s="263"/>
      <c r="E200" s="263"/>
    </row>
    <row r="201" spans="1:12" x14ac:dyDescent="0.25">
      <c r="A201" t="s">
        <v>21</v>
      </c>
      <c r="B201" s="4">
        <f t="shared" si="3"/>
        <v>169.5204</v>
      </c>
      <c r="C201" s="180">
        <f t="shared" si="4"/>
        <v>0</v>
      </c>
      <c r="D201" s="262">
        <f>1-C201</f>
        <v>1</v>
      </c>
      <c r="E201" s="262"/>
    </row>
    <row r="202" spans="1:12" x14ac:dyDescent="0.25">
      <c r="A202" t="s">
        <v>23</v>
      </c>
      <c r="B202" s="4">
        <f t="shared" si="3"/>
        <v>31.200000000000003</v>
      </c>
      <c r="C202" s="180">
        <f t="shared" si="4"/>
        <v>0</v>
      </c>
      <c r="D202" s="262">
        <f t="shared" ref="D202:D214" si="5">1-C202</f>
        <v>1</v>
      </c>
      <c r="E202" s="262"/>
    </row>
    <row r="203" spans="1:12" x14ac:dyDescent="0.25">
      <c r="A203" t="s">
        <v>22</v>
      </c>
      <c r="B203" s="4">
        <f t="shared" si="3"/>
        <v>130.18199999999999</v>
      </c>
      <c r="C203" s="180">
        <f t="shared" si="4"/>
        <v>0</v>
      </c>
      <c r="D203" s="262">
        <f t="shared" si="5"/>
        <v>1</v>
      </c>
      <c r="E203" s="262"/>
    </row>
    <row r="204" spans="1:12" x14ac:dyDescent="0.25">
      <c r="A204" s="26" t="s">
        <v>27</v>
      </c>
      <c r="B204" s="4">
        <f t="shared" si="3"/>
        <v>55.397042962490197</v>
      </c>
      <c r="C204" s="180">
        <f t="shared" si="4"/>
        <v>0</v>
      </c>
      <c r="D204" s="262">
        <f t="shared" si="5"/>
        <v>1</v>
      </c>
      <c r="E204" s="262"/>
      <c r="F204" s="4"/>
      <c r="I204" s="4"/>
    </row>
    <row r="205" spans="1:12" x14ac:dyDescent="0.25">
      <c r="A205" t="s">
        <v>26</v>
      </c>
      <c r="B205" s="4">
        <f t="shared" si="3"/>
        <v>37.96</v>
      </c>
      <c r="C205" s="180">
        <f t="shared" si="4"/>
        <v>0</v>
      </c>
      <c r="D205" s="262">
        <f t="shared" si="5"/>
        <v>1</v>
      </c>
      <c r="E205" s="262"/>
    </row>
    <row r="206" spans="1:12" x14ac:dyDescent="0.25">
      <c r="A206" t="s">
        <v>77</v>
      </c>
      <c r="B206" s="4">
        <f t="shared" si="3"/>
        <v>0</v>
      </c>
      <c r="C206" s="180">
        <f t="shared" si="4"/>
        <v>0</v>
      </c>
      <c r="D206" s="262">
        <f t="shared" si="5"/>
        <v>1</v>
      </c>
      <c r="E206" s="262"/>
    </row>
    <row r="207" spans="1:12" x14ac:dyDescent="0.25">
      <c r="A207" t="s">
        <v>28</v>
      </c>
      <c r="B207" s="4">
        <f t="shared" si="3"/>
        <v>120</v>
      </c>
      <c r="C207" s="180">
        <f t="shared" si="4"/>
        <v>0.1</v>
      </c>
      <c r="D207" s="262">
        <f t="shared" si="5"/>
        <v>0.9</v>
      </c>
      <c r="E207" s="262"/>
    </row>
    <row r="208" spans="1:12" x14ac:dyDescent="0.25">
      <c r="A208" t="s">
        <v>29</v>
      </c>
      <c r="B208" s="4">
        <f t="shared" si="3"/>
        <v>37.409999999999997</v>
      </c>
      <c r="C208" s="180">
        <f t="shared" si="4"/>
        <v>0.5</v>
      </c>
      <c r="D208" s="262">
        <f t="shared" si="5"/>
        <v>0.5</v>
      </c>
      <c r="E208" s="262"/>
    </row>
    <row r="209" spans="1:5" x14ac:dyDescent="0.25">
      <c r="A209" s="26" t="s">
        <v>35</v>
      </c>
      <c r="B209" s="4">
        <f t="shared" si="3"/>
        <v>240</v>
      </c>
      <c r="C209" s="180">
        <f t="shared" si="4"/>
        <v>1</v>
      </c>
      <c r="D209" s="262">
        <f t="shared" si="5"/>
        <v>0</v>
      </c>
      <c r="E209" s="262"/>
    </row>
    <row r="210" spans="1:5" x14ac:dyDescent="0.25">
      <c r="A210" s="26" t="s">
        <v>71</v>
      </c>
      <c r="B210" s="4">
        <f t="shared" si="3"/>
        <v>37.409999999999997</v>
      </c>
      <c r="C210" s="180">
        <f t="shared" si="4"/>
        <v>1</v>
      </c>
      <c r="D210" s="262">
        <f t="shared" si="5"/>
        <v>0</v>
      </c>
      <c r="E210" s="262"/>
    </row>
    <row r="211" spans="1:5" x14ac:dyDescent="0.25">
      <c r="A211" t="s">
        <v>72</v>
      </c>
      <c r="B211" s="4">
        <f t="shared" si="3"/>
        <v>20.010000000000002</v>
      </c>
      <c r="C211" s="180">
        <f t="shared" si="4"/>
        <v>0</v>
      </c>
      <c r="D211" s="262">
        <f t="shared" si="5"/>
        <v>1</v>
      </c>
      <c r="E211" s="262"/>
    </row>
    <row r="212" spans="1:5" x14ac:dyDescent="0.25">
      <c r="A212" t="s">
        <v>30</v>
      </c>
      <c r="B212" s="4">
        <f t="shared" si="3"/>
        <v>38.28</v>
      </c>
      <c r="C212" s="180">
        <f t="shared" si="4"/>
        <v>0</v>
      </c>
      <c r="D212" s="262">
        <f t="shared" si="5"/>
        <v>1</v>
      </c>
      <c r="E212" s="262"/>
    </row>
    <row r="213" spans="1:5" x14ac:dyDescent="0.25">
      <c r="A213" t="s">
        <v>51</v>
      </c>
      <c r="B213" s="4">
        <f t="shared" si="3"/>
        <v>48.72</v>
      </c>
      <c r="C213" s="180">
        <f t="shared" si="4"/>
        <v>0</v>
      </c>
      <c r="D213" s="262">
        <f t="shared" si="5"/>
        <v>1</v>
      </c>
      <c r="E213" s="262"/>
    </row>
    <row r="214" spans="1:5" x14ac:dyDescent="0.25">
      <c r="A214" s="14" t="s">
        <v>31</v>
      </c>
      <c r="B214" s="178">
        <f t="shared" si="3"/>
        <v>14.79</v>
      </c>
      <c r="C214" s="184">
        <f t="shared" si="4"/>
        <v>0.5</v>
      </c>
      <c r="D214" s="264">
        <f t="shared" si="5"/>
        <v>0.5</v>
      </c>
      <c r="E214" s="264"/>
    </row>
    <row r="215" spans="1:5" x14ac:dyDescent="0.25">
      <c r="A215" s="8" t="s">
        <v>12</v>
      </c>
      <c r="B215" s="9">
        <f t="shared" si="3"/>
        <v>980.87944296248997</v>
      </c>
      <c r="C215" s="151">
        <f>L28</f>
        <v>315.51</v>
      </c>
      <c r="D215" s="265">
        <f>M28</f>
        <v>665.3694429624901</v>
      </c>
      <c r="E215" s="265"/>
    </row>
    <row r="216" spans="1:5" x14ac:dyDescent="0.25">
      <c r="B216" s="4"/>
      <c r="C216" s="180"/>
      <c r="D216" s="262"/>
      <c r="E216" s="262"/>
    </row>
    <row r="217" spans="1:5" x14ac:dyDescent="0.25">
      <c r="A217" s="16" t="s">
        <v>9</v>
      </c>
      <c r="B217" s="178"/>
      <c r="C217" s="184"/>
      <c r="D217" s="264"/>
      <c r="E217" s="264"/>
    </row>
    <row r="218" spans="1:5" x14ac:dyDescent="0.25">
      <c r="A218" s="156" t="s">
        <v>123</v>
      </c>
      <c r="B218" s="4">
        <f t="shared" si="3"/>
        <v>120</v>
      </c>
      <c r="C218" s="180">
        <f t="shared" si="4"/>
        <v>1</v>
      </c>
      <c r="D218" s="262">
        <f>1-C218</f>
        <v>0</v>
      </c>
      <c r="E218" s="262"/>
    </row>
    <row r="219" spans="1:5" x14ac:dyDescent="0.25">
      <c r="A219" s="156" t="s">
        <v>138</v>
      </c>
      <c r="B219" s="4">
        <f t="shared" si="3"/>
        <v>20</v>
      </c>
      <c r="C219" s="180">
        <f t="shared" si="4"/>
        <v>1</v>
      </c>
      <c r="D219" s="262">
        <f t="shared" ref="D219:D222" si="6">1-C219</f>
        <v>0</v>
      </c>
      <c r="E219" s="262"/>
    </row>
    <row r="220" spans="1:5" x14ac:dyDescent="0.25">
      <c r="A220" s="156" t="s">
        <v>136</v>
      </c>
      <c r="B220" s="4">
        <f t="shared" si="3"/>
        <v>0</v>
      </c>
      <c r="C220" s="180">
        <f t="shared" si="4"/>
        <v>1</v>
      </c>
      <c r="D220" s="262">
        <f t="shared" si="6"/>
        <v>0</v>
      </c>
      <c r="E220" s="262"/>
    </row>
    <row r="221" spans="1:5" x14ac:dyDescent="0.25">
      <c r="A221" t="s">
        <v>126</v>
      </c>
      <c r="B221" s="4">
        <f t="shared" si="3"/>
        <v>57</v>
      </c>
      <c r="C221" s="180">
        <f t="shared" si="4"/>
        <v>0</v>
      </c>
      <c r="D221" s="262">
        <f t="shared" si="6"/>
        <v>1</v>
      </c>
      <c r="E221" s="262"/>
    </row>
    <row r="222" spans="1:5" x14ac:dyDescent="0.25">
      <c r="A222" t="s">
        <v>53</v>
      </c>
      <c r="B222" s="4">
        <f t="shared" si="3"/>
        <v>7</v>
      </c>
      <c r="C222" s="180">
        <f t="shared" si="4"/>
        <v>0</v>
      </c>
      <c r="D222" s="262">
        <f t="shared" si="6"/>
        <v>1</v>
      </c>
      <c r="E222" s="262"/>
    </row>
    <row r="223" spans="1:5" x14ac:dyDescent="0.25">
      <c r="A223" t="s">
        <v>52</v>
      </c>
      <c r="B223" s="4">
        <f t="shared" si="3"/>
        <v>11.31</v>
      </c>
      <c r="C223" s="180">
        <f t="shared" si="4"/>
        <v>0.5</v>
      </c>
      <c r="D223" s="262">
        <f>1-C223</f>
        <v>0.5</v>
      </c>
      <c r="E223" s="262"/>
    </row>
    <row r="224" spans="1:5" x14ac:dyDescent="0.25">
      <c r="A224" s="47" t="s">
        <v>57</v>
      </c>
      <c r="B224" s="178">
        <f t="shared" si="3"/>
        <v>0</v>
      </c>
      <c r="C224" s="184">
        <f t="shared" si="4"/>
        <v>0.5</v>
      </c>
      <c r="D224" s="264">
        <f t="shared" ref="D224" si="7">1-C224</f>
        <v>0.5</v>
      </c>
      <c r="E224" s="264"/>
    </row>
    <row r="225" spans="1:13" x14ac:dyDescent="0.25">
      <c r="A225" s="8" t="s">
        <v>10</v>
      </c>
      <c r="B225" s="9">
        <f t="shared" si="3"/>
        <v>215.31</v>
      </c>
      <c r="C225" s="151">
        <f t="shared" si="4"/>
        <v>145.655</v>
      </c>
      <c r="D225" s="265">
        <f>M38</f>
        <v>69.655000000000001</v>
      </c>
      <c r="E225" s="265"/>
    </row>
    <row r="226" spans="1:13" x14ac:dyDescent="0.25">
      <c r="B226" s="4"/>
      <c r="C226" s="145"/>
      <c r="D226" s="261"/>
      <c r="E226" s="261"/>
    </row>
    <row r="227" spans="1:13" ht="15.75" thickBot="1" x14ac:dyDescent="0.3">
      <c r="A227" s="16" t="s">
        <v>11</v>
      </c>
      <c r="B227" s="17">
        <f t="shared" si="3"/>
        <v>1196.1894429624899</v>
      </c>
      <c r="C227" s="181">
        <f t="shared" si="4"/>
        <v>461.16499999999996</v>
      </c>
      <c r="D227" s="278">
        <f>M40</f>
        <v>735.02444296249007</v>
      </c>
      <c r="E227" s="278"/>
      <c r="F227" s="177"/>
      <c r="G227" s="177"/>
      <c r="H227" s="177"/>
      <c r="I227" s="177"/>
      <c r="J227" s="177"/>
      <c r="K227" s="29"/>
      <c r="L227" s="29"/>
      <c r="M227" s="29"/>
    </row>
    <row r="228" spans="1:13" ht="26.25" customHeight="1" thickTop="1" x14ac:dyDescent="0.25">
      <c r="A228" s="28"/>
      <c r="B228" s="182"/>
      <c r="C228" s="187">
        <f t="shared" si="4"/>
        <v>301.16499999999996</v>
      </c>
      <c r="D228" s="267">
        <f>M41</f>
        <v>735.02444296249007</v>
      </c>
      <c r="E228" s="267"/>
      <c r="F228" s="253" t="s">
        <v>140</v>
      </c>
      <c r="G228" s="253"/>
      <c r="H228" s="253"/>
      <c r="I228" s="253"/>
      <c r="J228" s="254"/>
      <c r="K228" s="201"/>
      <c r="L228" s="29"/>
      <c r="M228" s="29"/>
    </row>
    <row r="229" spans="1:13" ht="27" customHeight="1" x14ac:dyDescent="0.25">
      <c r="A229" t="s">
        <v>32</v>
      </c>
      <c r="B229" s="183">
        <f t="shared" si="3"/>
        <v>-82.141442962489805</v>
      </c>
      <c r="C229" s="188">
        <f t="shared" si="4"/>
        <v>0.2906466593009886</v>
      </c>
      <c r="D229" s="268">
        <f>M42</f>
        <v>0.70935334069901146</v>
      </c>
      <c r="E229" s="268"/>
      <c r="F229" s="255" t="s">
        <v>141</v>
      </c>
      <c r="G229" s="255"/>
      <c r="H229" s="255"/>
      <c r="I229" s="255"/>
      <c r="J229" s="256"/>
      <c r="K229" s="201"/>
      <c r="L229" s="29"/>
    </row>
    <row r="230" spans="1:13" ht="27" customHeight="1" thickBot="1" x14ac:dyDescent="0.3">
      <c r="A230" s="2" t="s">
        <v>13</v>
      </c>
      <c r="B230" s="183">
        <f t="shared" si="3"/>
        <v>-297.45144296248975</v>
      </c>
      <c r="C230" s="186">
        <f t="shared" si="4"/>
        <v>214.71173179869376</v>
      </c>
      <c r="D230" s="269">
        <f>M43</f>
        <v>524.02626820130649</v>
      </c>
      <c r="E230" s="269"/>
      <c r="F230" s="270" t="s">
        <v>122</v>
      </c>
      <c r="G230" s="270"/>
      <c r="H230" s="270"/>
      <c r="I230" s="270"/>
      <c r="J230" s="271"/>
      <c r="K230" s="202"/>
      <c r="L230" s="29"/>
      <c r="M230" s="29"/>
    </row>
    <row r="231" spans="1:13" ht="15.75" thickTop="1" x14ac:dyDescent="0.25"/>
    <row r="235" spans="1:13" ht="17.25" customHeight="1" x14ac:dyDescent="0.25">
      <c r="A235" s="247" t="s">
        <v>41</v>
      </c>
      <c r="B235" s="248"/>
      <c r="C235" s="248"/>
      <c r="D235" s="248"/>
      <c r="E235" s="248"/>
      <c r="F235" s="248"/>
      <c r="G235" s="248"/>
      <c r="H235" s="248"/>
      <c r="I235" s="248"/>
      <c r="J235" s="248"/>
      <c r="K235" s="163"/>
    </row>
    <row r="236" spans="1:13" ht="15.75" x14ac:dyDescent="0.25">
      <c r="A236" s="161" t="str">
        <f>A134</f>
        <v>Publication: AM-FMG-CowLease</v>
      </c>
      <c r="B236" s="161"/>
      <c r="C236" s="161"/>
      <c r="D236" s="161"/>
      <c r="E236" s="161"/>
      <c r="F236" s="161"/>
      <c r="G236" s="161"/>
      <c r="H236" s="161"/>
      <c r="I236" s="259" t="str">
        <f>I134</f>
        <v>Version- 6.1.2016</v>
      </c>
      <c r="J236" s="259"/>
      <c r="K236" s="166"/>
    </row>
  </sheetData>
  <sheetProtection algorithmName="SHA-512" hashValue="++bRt9sLFCfk2HLxIaE9eE6mH72qniyKGk0uf0bCsZ/DnP/Wc/GZqKL9aY6Q44UmOPxChwbZ0xHBBLRx5JGagA==" saltValue="k20mFlwIKT+bMBOM8+2sEg==" spinCount="100000" sheet="1" objects="1" scenarios="1"/>
  <mergeCells count="74">
    <mergeCell ref="N41:Q41"/>
    <mergeCell ref="N42:Q42"/>
    <mergeCell ref="N43:Q43"/>
    <mergeCell ref="D229:E229"/>
    <mergeCell ref="D230:E230"/>
    <mergeCell ref="D224:E224"/>
    <mergeCell ref="D225:E225"/>
    <mergeCell ref="D226:E226"/>
    <mergeCell ref="D227:E227"/>
    <mergeCell ref="D219:E219"/>
    <mergeCell ref="D220:E220"/>
    <mergeCell ref="D221:E221"/>
    <mergeCell ref="D222:E222"/>
    <mergeCell ref="D223:E223"/>
    <mergeCell ref="D214:E214"/>
    <mergeCell ref="D215:E215"/>
    <mergeCell ref="A235:J235"/>
    <mergeCell ref="I236:J236"/>
    <mergeCell ref="F228:J228"/>
    <mergeCell ref="F229:J229"/>
    <mergeCell ref="F230:J230"/>
    <mergeCell ref="D228:E228"/>
    <mergeCell ref="D216:E216"/>
    <mergeCell ref="D217:E217"/>
    <mergeCell ref="D218:E218"/>
    <mergeCell ref="D209:E209"/>
    <mergeCell ref="D210:E210"/>
    <mergeCell ref="D211:E211"/>
    <mergeCell ref="D212:E212"/>
    <mergeCell ref="D213:E213"/>
    <mergeCell ref="D204:E204"/>
    <mergeCell ref="D205:E205"/>
    <mergeCell ref="D206:E206"/>
    <mergeCell ref="D207:E207"/>
    <mergeCell ref="D208:E208"/>
    <mergeCell ref="D199:E199"/>
    <mergeCell ref="D200:E200"/>
    <mergeCell ref="D201:E201"/>
    <mergeCell ref="D202:E202"/>
    <mergeCell ref="D203:E203"/>
    <mergeCell ref="D194:E194"/>
    <mergeCell ref="D195:E195"/>
    <mergeCell ref="D196:E196"/>
    <mergeCell ref="D197:E197"/>
    <mergeCell ref="D198:E198"/>
    <mergeCell ref="A188:B188"/>
    <mergeCell ref="C188:F188"/>
    <mergeCell ref="G188:J188"/>
    <mergeCell ref="L2:M6"/>
    <mergeCell ref="A133:J133"/>
    <mergeCell ref="I134:J134"/>
    <mergeCell ref="C122:D122"/>
    <mergeCell ref="C123:D123"/>
    <mergeCell ref="C124:D124"/>
    <mergeCell ref="C125:D125"/>
    <mergeCell ref="C126:D126"/>
    <mergeCell ref="C127:D127"/>
    <mergeCell ref="A93:J93"/>
    <mergeCell ref="I94:J94"/>
    <mergeCell ref="A96:B96"/>
    <mergeCell ref="C96:F96"/>
    <mergeCell ref="G96:J96"/>
    <mergeCell ref="C118:D118"/>
    <mergeCell ref="C119:D119"/>
    <mergeCell ref="C120:D120"/>
    <mergeCell ref="C121:D121"/>
    <mergeCell ref="A49:B49"/>
    <mergeCell ref="C49:F49"/>
    <mergeCell ref="G49:J49"/>
    <mergeCell ref="A1:B1"/>
    <mergeCell ref="C1:F1"/>
    <mergeCell ref="G1:J1"/>
    <mergeCell ref="A46:J46"/>
    <mergeCell ref="I47:J47"/>
  </mergeCells>
  <dataValidations count="1">
    <dataValidation type="list" showInputMessage="1" showErrorMessage="1" prompt="Select a price horizon to budget from" sqref="C1:F1 C188:F188">
      <formula1>price_selections</formula1>
    </dataValidation>
  </dataValidations>
  <pageMargins left="0.25" right="0.25" top="0.75" bottom="0.5" header="0.3" footer="0"/>
  <pageSetup scale="91" orientation="portrait" horizontalDpi="4294967295" verticalDpi="4294967295" r:id="rId1"/>
  <headerFooter scaleWithDoc="0">
    <oddHeader>&amp;L&amp;"-,Bold"&amp;20 KSU-Beef Cow Lease Spreadsheet &amp;"-,Regular"        
&amp;R&amp;"-,Italic"Purchased Replacement Heifers</oddHeader>
  </headerFooter>
  <rowBreaks count="3" manualBreakCount="3">
    <brk id="48" max="16383" man="1"/>
    <brk id="95" max="16383" man="1"/>
    <brk id="13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8" r:id="rId4" name="Button 6">
              <controlPr defaultSize="0" print="0" autoFill="0" autoPict="0" macro="[0]!PrintSummaryPR">
                <anchor moveWithCells="1" sizeWithCells="1">
                  <from>
                    <xdr:col>14</xdr:col>
                    <xdr:colOff>352425</xdr:colOff>
                    <xdr:row>1</xdr:row>
                    <xdr:rowOff>19050</xdr:rowOff>
                  </from>
                  <to>
                    <xdr:col>18</xdr:col>
                    <xdr:colOff>590550</xdr:colOff>
                    <xdr:row>3</xdr:row>
                    <xdr:rowOff>66675</xdr:rowOff>
                  </to>
                </anchor>
              </controlPr>
            </control>
          </mc:Choice>
        </mc:AlternateContent>
        <mc:AlternateContent xmlns:mc="http://schemas.openxmlformats.org/markup-compatibility/2006">
          <mc:Choice Requires="x14">
            <control shapeId="18439" r:id="rId5" name="Button 7">
              <controlPr defaultSize="0" print="0" autoFill="0" autoPict="0" macro="[0]!PrintFullPR2">
                <anchor moveWithCells="1" sizeWithCells="1">
                  <from>
                    <xdr:col>14</xdr:col>
                    <xdr:colOff>342900</xdr:colOff>
                    <xdr:row>4</xdr:row>
                    <xdr:rowOff>95250</xdr:rowOff>
                  </from>
                  <to>
                    <xdr:col>18</xdr:col>
                    <xdr:colOff>600075</xdr:colOff>
                    <xdr:row>6</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Prices</vt:lpstr>
      <vt:lpstr>Feed</vt:lpstr>
      <vt:lpstr>Lease with Raised Repl</vt:lpstr>
      <vt:lpstr>Lease with Purchased Repl</vt:lpstr>
      <vt:lpstr>price_selections</vt:lpstr>
      <vt:lpstr>Feed!Print_Area</vt:lpstr>
      <vt:lpstr>Introduction!Print_Area</vt:lpstr>
      <vt:lpstr>'Lease with Purchased Repl'!Print_Area</vt:lpstr>
      <vt:lpstr>'Lease with Raised Repl'!Print_Area</vt:lpstr>
      <vt:lpstr>Prices!Print_Area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Tonsor</dc:creator>
  <cp:lastModifiedBy>robinreid</cp:lastModifiedBy>
  <cp:lastPrinted>2016-07-08T14:27:30Z</cp:lastPrinted>
  <dcterms:created xsi:type="dcterms:W3CDTF">2015-02-05T18:15:32Z</dcterms:created>
  <dcterms:modified xsi:type="dcterms:W3CDTF">2016-07-08T14:29:45Z</dcterms:modified>
</cp:coreProperties>
</file>