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robinreid\Documents\Decision Tool Updates\For New AgManager\Ready to Post\"/>
    </mc:Choice>
  </mc:AlternateContent>
  <bookViews>
    <workbookView xWindow="0" yWindow="0" windowWidth="28800" windowHeight="12435"/>
  </bookViews>
  <sheets>
    <sheet name="Intro" sheetId="8" r:id="rId1"/>
    <sheet name="Comparison" sheetId="2" r:id="rId2"/>
    <sheet name="Bull carrying cost details" sheetId="5" r:id="rId3"/>
    <sheet name="AI cost details" sheetId="7" r:id="rId4"/>
    <sheet name="Notes" sheetId="3" r:id="rId5"/>
  </sheets>
  <externalReferences>
    <externalReference r:id="rId6"/>
    <externalReference r:id="rId7"/>
  </externalReferences>
  <definedNames>
    <definedName name="data">[1]kcd!$B$10:$AZ$1374</definedName>
    <definedName name="Prices">'[2]Prices and weights'!$B$7:$H$16</definedName>
    <definedName name="_xlnm.Print_Area" localSheetId="0">Intro!$A$1:$M$63</definedName>
    <definedName name="weights">'[2]Prices and weights'!$J$7:$M$16</definedName>
    <definedName name="Z_7F8F69BA_F1D1_4483_B535_1A9BCCCC12B7_.wvu.PrintArea" localSheetId="0" hidden="1">Intro!$B$2:$L$47</definedName>
    <definedName name="Z_7F8F69BA_F1D1_4483_B535_1A9BCCCC12B7_.wvu.Rows" localSheetId="0" hidden="1">Intro!#REF!</definedName>
  </definedNames>
  <calcPr calcId="152511"/>
</workbook>
</file>

<file path=xl/calcChain.xml><?xml version="1.0" encoding="utf-8"?>
<calcChain xmlns="http://schemas.openxmlformats.org/spreadsheetml/2006/main">
  <c r="G5" i="5" l="1"/>
  <c r="B97" i="2" l="1"/>
  <c r="F98" i="2"/>
  <c r="F99" i="2"/>
  <c r="H100" i="2"/>
  <c r="H101" i="2"/>
  <c r="C105" i="2"/>
  <c r="D105" i="2"/>
  <c r="H105" i="2"/>
  <c r="I105" i="2"/>
  <c r="B106" i="2"/>
  <c r="C106" i="2"/>
  <c r="H106" i="2"/>
  <c r="F106" i="2" s="1"/>
  <c r="I106" i="2"/>
  <c r="B107" i="2"/>
  <c r="C107" i="2"/>
  <c r="F107" i="2"/>
  <c r="H107" i="2"/>
  <c r="I107" i="2"/>
  <c r="B108" i="2"/>
  <c r="C108" i="2"/>
  <c r="H108" i="2"/>
  <c r="F108" i="2" s="1"/>
  <c r="I108" i="2"/>
  <c r="B109" i="2"/>
  <c r="F109" i="2"/>
  <c r="H109" i="2"/>
  <c r="I109" i="2"/>
  <c r="B110" i="2"/>
  <c r="C110" i="2"/>
  <c r="D110" i="2"/>
  <c r="E109" i="2" s="1"/>
  <c r="G110" i="2"/>
  <c r="H110" i="2"/>
  <c r="F110" i="2" s="1"/>
  <c r="I110" i="2"/>
  <c r="B111" i="2"/>
  <c r="C111" i="2"/>
  <c r="D111" i="2"/>
  <c r="E110" i="2" s="1"/>
  <c r="G111" i="2"/>
  <c r="H111" i="2"/>
  <c r="F111" i="2" s="1"/>
  <c r="I111" i="2"/>
  <c r="B112" i="2"/>
  <c r="C112" i="2"/>
  <c r="D112" i="2"/>
  <c r="E111" i="2" s="1"/>
  <c r="G112" i="2"/>
  <c r="H112" i="2"/>
  <c r="F112" i="2" s="1"/>
  <c r="I112" i="2"/>
  <c r="B113" i="2"/>
  <c r="C113" i="2"/>
  <c r="D113" i="2"/>
  <c r="E112" i="2" s="1"/>
  <c r="G113" i="2"/>
  <c r="H113" i="2"/>
  <c r="F113" i="2" s="1"/>
  <c r="I113" i="2"/>
  <c r="B114" i="2"/>
  <c r="C114" i="2"/>
  <c r="D114" i="2"/>
  <c r="E113" i="2" s="1"/>
  <c r="G114" i="2"/>
  <c r="H114" i="2"/>
  <c r="F114" i="2" s="1"/>
  <c r="I114" i="2"/>
  <c r="B115" i="2"/>
  <c r="C115" i="2"/>
  <c r="D115" i="2"/>
  <c r="E114" i="2" s="1"/>
  <c r="E115" i="2"/>
  <c r="G115" i="2"/>
  <c r="H115" i="2"/>
  <c r="F115" i="2" s="1"/>
  <c r="I115" i="2"/>
  <c r="D119" i="2"/>
  <c r="B120" i="2"/>
  <c r="B121" i="2"/>
  <c r="B122" i="2"/>
  <c r="B123" i="2"/>
  <c r="B124" i="2"/>
  <c r="B125" i="2"/>
  <c r="B126" i="2"/>
  <c r="B127" i="2"/>
  <c r="B128" i="2"/>
  <c r="B129" i="2"/>
  <c r="H21" i="2" l="1"/>
  <c r="G21" i="7"/>
  <c r="G9" i="5" l="1"/>
  <c r="G9" i="7"/>
  <c r="G10" i="7"/>
  <c r="G11" i="5"/>
  <c r="G18" i="7" l="1"/>
  <c r="G17" i="7"/>
  <c r="G15" i="7"/>
  <c r="G16" i="7"/>
  <c r="G13" i="7"/>
  <c r="H22" i="2" s="1"/>
  <c r="G7" i="7"/>
  <c r="G8" i="7"/>
  <c r="G6" i="7"/>
  <c r="G11" i="7" s="1"/>
  <c r="G10" i="5"/>
  <c r="G19" i="7" l="1"/>
  <c r="H23" i="2" s="1"/>
  <c r="H24" i="2" s="1"/>
  <c r="H12" i="2"/>
  <c r="H13" i="2"/>
  <c r="E129" i="2" s="1"/>
  <c r="G29" i="5"/>
  <c r="G28" i="5"/>
  <c r="G27" i="5"/>
  <c r="G30" i="5" s="1"/>
  <c r="G17" i="5"/>
  <c r="G12" i="5"/>
  <c r="G8" i="5"/>
  <c r="H10" i="2"/>
  <c r="H11" i="2" s="1"/>
  <c r="H27" i="2"/>
  <c r="H98" i="2" s="1"/>
  <c r="H99" i="2" s="1"/>
  <c r="H14" i="2"/>
  <c r="H16" i="2" l="1"/>
  <c r="D125" i="2"/>
  <c r="E124" i="2" s="1"/>
  <c r="D128" i="2"/>
  <c r="E127" i="2" s="1"/>
  <c r="C120" i="2"/>
  <c r="C121" i="2"/>
  <c r="C122" i="2"/>
  <c r="C123" i="2"/>
  <c r="C124" i="2"/>
  <c r="C125" i="2"/>
  <c r="C126" i="2"/>
  <c r="C127" i="2"/>
  <c r="C128" i="2"/>
  <c r="C129" i="2"/>
  <c r="D124" i="2"/>
  <c r="E123" i="2" s="1"/>
  <c r="D127" i="2"/>
  <c r="E126" i="2" s="1"/>
  <c r="C119" i="2"/>
  <c r="D120" i="2" s="1"/>
  <c r="G120" i="2"/>
  <c r="G121" i="2"/>
  <c r="G122" i="2"/>
  <c r="G123" i="2"/>
  <c r="G124" i="2"/>
  <c r="G125" i="2"/>
  <c r="G126" i="2"/>
  <c r="G127" i="2"/>
  <c r="G128" i="2"/>
  <c r="G129" i="2"/>
  <c r="H119" i="2"/>
  <c r="H120" i="2"/>
  <c r="F120" i="2" s="1"/>
  <c r="H121" i="2"/>
  <c r="F121" i="2" s="1"/>
  <c r="H122" i="2"/>
  <c r="F122" i="2" s="1"/>
  <c r="H123" i="2"/>
  <c r="F123" i="2" s="1"/>
  <c r="H124" i="2"/>
  <c r="F124" i="2" s="1"/>
  <c r="H125" i="2"/>
  <c r="F125" i="2" s="1"/>
  <c r="H126" i="2"/>
  <c r="F126" i="2" s="1"/>
  <c r="H127" i="2"/>
  <c r="F127" i="2" s="1"/>
  <c r="H128" i="2"/>
  <c r="F128" i="2" s="1"/>
  <c r="H129" i="2"/>
  <c r="F129" i="2" s="1"/>
  <c r="D126" i="2"/>
  <c r="E125" i="2" s="1"/>
  <c r="D129" i="2"/>
  <c r="E128" i="2" s="1"/>
  <c r="I119" i="2"/>
  <c r="I123" i="2"/>
  <c r="I127" i="2"/>
  <c r="I120" i="2"/>
  <c r="I121" i="2"/>
  <c r="I122" i="2"/>
  <c r="I124" i="2"/>
  <c r="I125" i="2"/>
  <c r="I126" i="2"/>
  <c r="I128" i="2"/>
  <c r="I129" i="2"/>
  <c r="G13" i="5"/>
  <c r="G14" i="5" s="1"/>
  <c r="G23" i="5" s="1"/>
  <c r="G24" i="5" s="1"/>
  <c r="G32" i="5" s="1"/>
  <c r="F11" i="2"/>
  <c r="F15" i="2" l="1"/>
  <c r="H15" i="2"/>
  <c r="E119" i="2"/>
  <c r="D121" i="2"/>
  <c r="F16" i="2"/>
  <c r="G106" i="2"/>
  <c r="G107" i="2"/>
  <c r="G108" i="2"/>
  <c r="G109" i="2"/>
  <c r="C109" i="2"/>
  <c r="D106" i="2" s="1"/>
  <c r="F17" i="2" l="1"/>
  <c r="F30" i="2" s="1"/>
  <c r="E105" i="2"/>
  <c r="D107" i="2"/>
  <c r="E120" i="2"/>
  <c r="D122" i="2"/>
  <c r="E121" i="2" l="1"/>
  <c r="D123" i="2"/>
  <c r="D108" i="2"/>
  <c r="E106" i="2"/>
  <c r="D109" i="2" l="1"/>
  <c r="E108" i="2" s="1"/>
  <c r="E107" i="2"/>
  <c r="E122" i="2"/>
  <c r="H17" i="2" s="1"/>
  <c r="H30" i="2" s="1"/>
  <c r="H32" i="2" s="1"/>
  <c r="H34" i="2" s="1"/>
  <c r="H40" i="2" s="1"/>
  <c r="F32" i="2" l="1"/>
  <c r="F34" i="2" s="1"/>
  <c r="F40" i="2" s="1"/>
</calcChain>
</file>

<file path=xl/comments1.xml><?xml version="1.0" encoding="utf-8"?>
<comments xmlns="http://schemas.openxmlformats.org/spreadsheetml/2006/main">
  <authors>
    <author>Kevin Dhuyvetter</author>
    <author>Curt Vogel</author>
    <author>Sandy Johnson</author>
  </authors>
  <commentList>
    <comment ref="B8" authorId="0" shapeId="0">
      <text>
        <r>
          <rPr>
            <sz val="10"/>
            <color indexed="81"/>
            <rFont val="Calibri"/>
            <family val="2"/>
            <scheme val="minor"/>
          </rPr>
          <t>Enter the average purchase price of a bull as $/head.</t>
        </r>
      </text>
    </comment>
    <comment ref="B9" authorId="0" shapeId="0">
      <text>
        <r>
          <rPr>
            <sz val="10"/>
            <color indexed="81"/>
            <rFont val="Calibri"/>
            <family val="2"/>
            <scheme val="minor"/>
          </rPr>
          <t>Enter the average weight of a bull when it is culled as pounds/head.</t>
        </r>
      </text>
    </comment>
    <comment ref="B10" authorId="0" shapeId="0">
      <text>
        <r>
          <rPr>
            <sz val="10"/>
            <color indexed="81"/>
            <rFont val="Calibri"/>
            <family val="2"/>
            <scheme val="minor"/>
          </rPr>
          <t>Enter the average price for cull bulls as $/lb.</t>
        </r>
      </text>
    </comment>
    <comment ref="B11" authorId="0" shapeId="0">
      <text>
        <r>
          <rPr>
            <sz val="10"/>
            <color indexed="81"/>
            <rFont val="Calibri"/>
            <family val="2"/>
            <scheme val="minor"/>
          </rPr>
          <t>Calculated value for salvage value of bull (weight x price).</t>
        </r>
      </text>
    </comment>
    <comment ref="B12" authorId="0" shapeId="0">
      <text>
        <r>
          <rPr>
            <sz val="10"/>
            <color indexed="81"/>
            <rFont val="Calibri"/>
            <family val="2"/>
            <scheme val="minor"/>
          </rPr>
          <t>Enter the average number of breeding seasons a bull will be used (years).</t>
        </r>
      </text>
    </comment>
    <comment ref="B13" authorId="0" shapeId="0">
      <text>
        <r>
          <rPr>
            <sz val="10"/>
            <color indexed="81"/>
            <rFont val="Calibri"/>
            <family val="2"/>
            <scheme val="minor"/>
          </rPr>
          <t>Enter the expected average annual death loss of breeding bulls as a percentage.</t>
        </r>
      </text>
    </comment>
    <comment ref="B14" authorId="0" shapeId="0">
      <text>
        <r>
          <rPr>
            <sz val="10"/>
            <color indexed="81"/>
            <rFont val="Calibri"/>
            <family val="2"/>
            <scheme val="minor"/>
          </rPr>
          <t>Enter an interest rate to charge for money tied up in bulls.  This is typically a rate on operating loans.</t>
        </r>
      </text>
    </comment>
    <comment ref="B15" authorId="0" shapeId="0">
      <text>
        <r>
          <rPr>
            <sz val="10"/>
            <color indexed="81"/>
            <rFont val="Calibri"/>
            <family val="2"/>
            <scheme val="minor"/>
          </rPr>
          <t xml:space="preserve">Calculated value from </t>
        </r>
        <r>
          <rPr>
            <b/>
            <u/>
            <sz val="10"/>
            <color indexed="81"/>
            <rFont val="Calibri"/>
            <family val="2"/>
            <scheme val="minor"/>
          </rPr>
          <t>Bull carrying cost details</t>
        </r>
        <r>
          <rPr>
            <sz val="10"/>
            <color indexed="81"/>
            <rFont val="Calibri"/>
            <family val="2"/>
            <scheme val="minor"/>
          </rPr>
          <t xml:space="preserve"> tab for the annual cost of feeding and caring for a bull.  This does not include the ownership (depreciation and interest) costs.</t>
        </r>
      </text>
    </comment>
    <comment ref="F15" authorId="1" shapeId="0">
      <text>
        <r>
          <rPr>
            <sz val="10"/>
            <color indexed="81"/>
            <rFont val="Calibri"/>
            <family val="2"/>
            <scheme val="minor"/>
          </rPr>
          <t xml:space="preserve">See </t>
        </r>
        <r>
          <rPr>
            <b/>
            <u/>
            <sz val="10"/>
            <color indexed="81"/>
            <rFont val="Calibri"/>
            <family val="2"/>
            <scheme val="minor"/>
          </rPr>
          <t>Bull carrying cost details</t>
        </r>
        <r>
          <rPr>
            <b/>
            <sz val="10"/>
            <color indexed="81"/>
            <rFont val="Calibri"/>
            <family val="2"/>
            <scheme val="minor"/>
          </rPr>
          <t xml:space="preserve"> </t>
        </r>
        <r>
          <rPr>
            <sz val="10"/>
            <color indexed="81"/>
            <rFont val="Calibri"/>
            <family val="2"/>
            <scheme val="minor"/>
          </rPr>
          <t>tab for calculator to estimate the annual carrying cost of a bull.</t>
        </r>
      </text>
    </comment>
    <comment ref="H15" authorId="1" shapeId="0">
      <text>
        <r>
          <rPr>
            <sz val="10"/>
            <color indexed="81"/>
            <rFont val="Calibri"/>
            <family val="2"/>
            <scheme val="minor"/>
          </rPr>
          <t xml:space="preserve">See </t>
        </r>
        <r>
          <rPr>
            <b/>
            <u/>
            <sz val="10"/>
            <color indexed="81"/>
            <rFont val="Calibri"/>
            <family val="2"/>
            <scheme val="minor"/>
          </rPr>
          <t>Bull carrying cost details</t>
        </r>
        <r>
          <rPr>
            <b/>
            <sz val="10"/>
            <color indexed="81"/>
            <rFont val="Calibri"/>
            <family val="2"/>
            <scheme val="minor"/>
          </rPr>
          <t xml:space="preserve"> </t>
        </r>
        <r>
          <rPr>
            <sz val="10"/>
            <color indexed="81"/>
            <rFont val="Calibri"/>
            <family val="2"/>
            <scheme val="minor"/>
          </rPr>
          <t>tab for calculator to estimate the annual carrying cost of a bull.</t>
        </r>
      </text>
    </comment>
    <comment ref="B16" authorId="0" shapeId="0">
      <text>
        <r>
          <rPr>
            <sz val="10"/>
            <color indexed="81"/>
            <rFont val="Calibri"/>
            <family val="2"/>
            <scheme val="minor"/>
          </rPr>
          <t>Calculated cost of bull ownership based on purchase price, salvage value, interest rate, and number of years used.</t>
        </r>
      </text>
    </comment>
    <comment ref="B17" authorId="0" shapeId="0">
      <text>
        <r>
          <rPr>
            <sz val="10"/>
            <color indexed="81"/>
            <rFont val="Calibri"/>
            <family val="2"/>
            <scheme val="minor"/>
          </rPr>
          <t>Calculated total annual cost of owning and caring for a bull.</t>
        </r>
      </text>
    </comment>
    <comment ref="B20" authorId="0" shapeId="0">
      <text>
        <r>
          <rPr>
            <sz val="10"/>
            <color indexed="81"/>
            <rFont val="Calibri"/>
            <family val="2"/>
            <scheme val="minor"/>
          </rPr>
          <t xml:space="preserve">Enter expected artificial insemination (AI)  pregnancy rate. AI pregnancy rate will vary with cow body condition, age, days since calving, semen, and other management factors.  See K-State publication MF2574.  Results after the first year of AI may not be the same as those achieved by operations that have used AI for several years.    </t>
        </r>
      </text>
    </comment>
    <comment ref="B21" authorId="0" shapeId="0">
      <text>
        <r>
          <rPr>
            <sz val="10"/>
            <color indexed="81"/>
            <rFont val="Calibri"/>
            <family val="2"/>
            <scheme val="minor"/>
          </rPr>
          <t xml:space="preserve">Calculated value from </t>
        </r>
        <r>
          <rPr>
            <b/>
            <u/>
            <sz val="10"/>
            <color indexed="81"/>
            <rFont val="Calibri"/>
            <family val="2"/>
            <scheme val="minor"/>
          </rPr>
          <t>AI cost details</t>
        </r>
        <r>
          <rPr>
            <sz val="10"/>
            <color indexed="81"/>
            <rFont val="Calibri"/>
            <family val="2"/>
            <scheme val="minor"/>
          </rPr>
          <t xml:space="preserve"> tab for synchonizing females for AI breeding (enter details in other tab).</t>
        </r>
      </text>
    </comment>
    <comment ref="H21" authorId="1" shapeId="0">
      <text>
        <r>
          <rPr>
            <sz val="10"/>
            <color indexed="81"/>
            <rFont val="Calibri"/>
            <family val="2"/>
            <scheme val="minor"/>
          </rPr>
          <t xml:space="preserve">See </t>
        </r>
        <r>
          <rPr>
            <b/>
            <u/>
            <sz val="10"/>
            <color indexed="81"/>
            <rFont val="Calibri"/>
            <family val="2"/>
            <scheme val="minor"/>
          </rPr>
          <t>A.I. Cost details</t>
        </r>
        <r>
          <rPr>
            <b/>
            <sz val="10"/>
            <color indexed="81"/>
            <rFont val="Calibri"/>
            <family val="2"/>
            <scheme val="minor"/>
          </rPr>
          <t xml:space="preserve"> </t>
        </r>
        <r>
          <rPr>
            <sz val="10"/>
            <color indexed="81"/>
            <rFont val="Calibri"/>
            <family val="2"/>
            <scheme val="minor"/>
          </rPr>
          <t>tab for calculator to costs of artificial insemination program.</t>
        </r>
      </text>
    </comment>
    <comment ref="B22" authorId="0" shapeId="0">
      <text>
        <r>
          <rPr>
            <sz val="10"/>
            <color indexed="81"/>
            <rFont val="Calibri"/>
            <family val="2"/>
            <scheme val="minor"/>
          </rPr>
          <t xml:space="preserve">Calculated value from </t>
        </r>
        <r>
          <rPr>
            <b/>
            <u/>
            <sz val="10"/>
            <color indexed="81"/>
            <rFont val="Calibri"/>
            <family val="2"/>
            <scheme val="minor"/>
          </rPr>
          <t>AI cost details</t>
        </r>
        <r>
          <rPr>
            <sz val="10"/>
            <color indexed="81"/>
            <rFont val="Calibri"/>
            <family val="2"/>
            <scheme val="minor"/>
          </rPr>
          <t xml:space="preserve"> tab for semen costs for AI breeding (enter details in other tab).</t>
        </r>
      </text>
    </comment>
    <comment ref="H22" authorId="1" shapeId="0">
      <text>
        <r>
          <rPr>
            <sz val="10"/>
            <color indexed="81"/>
            <rFont val="Calibri"/>
            <family val="2"/>
            <scheme val="minor"/>
          </rPr>
          <t xml:space="preserve">See </t>
        </r>
        <r>
          <rPr>
            <b/>
            <u/>
            <sz val="10"/>
            <color indexed="81"/>
            <rFont val="Calibri"/>
            <family val="2"/>
            <scheme val="minor"/>
          </rPr>
          <t>A.I. Cost details</t>
        </r>
        <r>
          <rPr>
            <b/>
            <sz val="10"/>
            <color indexed="81"/>
            <rFont val="Calibri"/>
            <family val="2"/>
            <scheme val="minor"/>
          </rPr>
          <t xml:space="preserve"> </t>
        </r>
        <r>
          <rPr>
            <sz val="10"/>
            <color indexed="81"/>
            <rFont val="Calibri"/>
            <family val="2"/>
            <scheme val="minor"/>
          </rPr>
          <t>tab for calculator to costs of artificial insemination program.</t>
        </r>
      </text>
    </comment>
    <comment ref="B23" authorId="0" shapeId="0">
      <text>
        <r>
          <rPr>
            <sz val="10"/>
            <color indexed="81"/>
            <rFont val="Calibri"/>
            <family val="2"/>
            <scheme val="minor"/>
          </rPr>
          <t xml:space="preserve">Calculated value from </t>
        </r>
        <r>
          <rPr>
            <b/>
            <u/>
            <sz val="10"/>
            <color indexed="81"/>
            <rFont val="Calibri"/>
            <family val="2"/>
            <scheme val="minor"/>
          </rPr>
          <t>AI cost details</t>
        </r>
        <r>
          <rPr>
            <sz val="10"/>
            <color indexed="81"/>
            <rFont val="Calibri"/>
            <family val="2"/>
            <scheme val="minor"/>
          </rPr>
          <t xml:space="preserve"> tab for labor and other costs associated with AI breeding (enter details in other tab).</t>
        </r>
      </text>
    </comment>
    <comment ref="H23" authorId="1" shapeId="0">
      <text>
        <r>
          <rPr>
            <sz val="10"/>
            <color indexed="81"/>
            <rFont val="Calibri"/>
            <family val="2"/>
            <scheme val="minor"/>
          </rPr>
          <t xml:space="preserve">See </t>
        </r>
        <r>
          <rPr>
            <b/>
            <u/>
            <sz val="10"/>
            <color indexed="81"/>
            <rFont val="Calibri"/>
            <family val="2"/>
            <scheme val="minor"/>
          </rPr>
          <t>A.I. Cost details</t>
        </r>
        <r>
          <rPr>
            <b/>
            <sz val="10"/>
            <color indexed="81"/>
            <rFont val="Calibri"/>
            <family val="2"/>
            <scheme val="minor"/>
          </rPr>
          <t xml:space="preserve"> </t>
        </r>
        <r>
          <rPr>
            <sz val="10"/>
            <color indexed="81"/>
            <rFont val="Calibri"/>
            <family val="2"/>
            <scheme val="minor"/>
          </rPr>
          <t>tab for calculator to costs of artificial insemination program.</t>
        </r>
      </text>
    </comment>
    <comment ref="B24" authorId="0" shapeId="0">
      <text>
        <r>
          <rPr>
            <sz val="10"/>
            <color indexed="81"/>
            <rFont val="Calibri"/>
            <family val="2"/>
            <scheme val="minor"/>
          </rPr>
          <t>Calculated total cost of A.I. breeding program excluding the costs of cleanup bull(s).</t>
        </r>
      </text>
    </comment>
    <comment ref="B27" authorId="0" shapeId="0">
      <text>
        <r>
          <rPr>
            <sz val="10"/>
            <color indexed="81"/>
            <rFont val="Calibri"/>
            <family val="2"/>
            <scheme val="minor"/>
          </rPr>
          <t>Enter the total number of females (cows and heifers) bred.</t>
        </r>
      </text>
    </comment>
    <comment ref="B28" authorId="0" shapeId="0">
      <text>
        <r>
          <rPr>
            <sz val="10"/>
            <color indexed="81"/>
            <rFont val="Calibri"/>
            <family val="2"/>
            <scheme val="minor"/>
          </rPr>
          <t>Enter the average number of cows a bull will reliably cover.  A rule of thumb is that a bull can cover one cow per month of age as a young bull, with a max of 25 or 30.  However, this depends on many factors such as stocking rates, pasture size, etc.</t>
        </r>
      </text>
    </comment>
    <comment ref="B29" authorId="0" shapeId="0">
      <text>
        <r>
          <rPr>
            <sz val="10"/>
            <color indexed="81"/>
            <rFont val="Calibri"/>
            <family val="2"/>
            <scheme val="minor"/>
          </rPr>
          <t xml:space="preserve">Calculated number of bulls needed. </t>
        </r>
      </text>
    </comment>
    <comment ref="H29" authorId="2" shapeId="0">
      <text>
        <r>
          <rPr>
            <sz val="9"/>
            <color indexed="81"/>
            <rFont val="Tahoma"/>
            <family val="2"/>
          </rPr>
          <t>For planning purposes the number of bulls needed for cleanup following AI is determined in advance of the breeding season.  A common method is to plan that half of the cows will conceive to AI and in effect turn out half the number of bulls that would have been used without AI. -  A more conservative number may be advisable in some cases such as no previous AI experience and/or less than optimal bull condition.</t>
        </r>
      </text>
    </comment>
    <comment ref="B30" authorId="0" shapeId="0">
      <text>
        <r>
          <rPr>
            <sz val="10"/>
            <color indexed="81"/>
            <rFont val="Calibri"/>
            <family val="2"/>
            <scheme val="minor"/>
          </rPr>
          <t>Calculated cost associated with bulls per female exposed (this does not include A.I. program costs).</t>
        </r>
      </text>
    </comment>
    <comment ref="B32" authorId="0" shapeId="0">
      <text>
        <r>
          <rPr>
            <sz val="10"/>
            <color indexed="81"/>
            <rFont val="Calibri"/>
            <family val="2"/>
            <scheme val="minor"/>
          </rPr>
          <t>Calculated total cost per female exposed -- includes the cost of the bull(s) and all A.I. related costs.</t>
        </r>
      </text>
    </comment>
    <comment ref="B33" authorId="0" shapeId="0">
      <text>
        <r>
          <rPr>
            <sz val="10"/>
            <color indexed="81"/>
            <rFont val="Calibri"/>
            <family val="2"/>
            <scheme val="minor"/>
          </rPr>
          <t>Enter the expected pregnancy rate -- i.e., percentage of females exposed that become pregnant.</t>
        </r>
      </text>
    </comment>
    <comment ref="B34" authorId="0" shapeId="0">
      <text>
        <r>
          <rPr>
            <sz val="10"/>
            <color indexed="81"/>
            <rFont val="Calibri"/>
            <family val="2"/>
            <scheme val="minor"/>
          </rPr>
          <t>Calculated total cost per female bred -- includes the cost of the bull(s) and all A.I. related costs.</t>
        </r>
      </text>
    </comment>
    <comment ref="B37" authorId="0" shapeId="0">
      <text>
        <r>
          <rPr>
            <sz val="10"/>
            <color indexed="81"/>
            <rFont val="Calibri"/>
            <family val="2"/>
            <scheme val="minor"/>
          </rPr>
          <t>Enter an estimate for the difference in value for A.I. sired calves (positive or negative value).  It is typically assumed that A.I. calves may be more valuable due to proven genetics, calves being older, or possibly different gender (i.e., if sexed semen is used).</t>
        </r>
      </text>
    </comment>
    <comment ref="H37" authorId="0" shapeId="0">
      <text>
        <r>
          <rPr>
            <sz val="10"/>
            <color indexed="81"/>
            <rFont val="Calibri"/>
            <family val="2"/>
            <scheme val="minor"/>
          </rPr>
          <t>A.I. sired calves may be more valuable due to more proven genetics, calves being older, or possibly different gender (i.e., if sexed semen is used).</t>
        </r>
      </text>
    </comment>
    <comment ref="B40" authorId="0" shapeId="0">
      <text>
        <r>
          <rPr>
            <sz val="10"/>
            <color indexed="81"/>
            <rFont val="Calibri"/>
            <family val="2"/>
            <scheme val="minor"/>
          </rPr>
          <t>Calculated total cost per female bred accounting for expected difference in A.I. sired calves.</t>
        </r>
      </text>
    </comment>
  </commentList>
</comments>
</file>

<file path=xl/sharedStrings.xml><?xml version="1.0" encoding="utf-8"?>
<sst xmlns="http://schemas.openxmlformats.org/spreadsheetml/2006/main" count="142" uniqueCount="127">
  <si>
    <t>Annual Bull Cost/Female Exposed</t>
  </si>
  <si>
    <t>Artificial Insemination Costs</t>
  </si>
  <si>
    <t>Cost</t>
  </si>
  <si>
    <t>Benefit</t>
  </si>
  <si>
    <t>Comparison of Bull vs. AI Breeding Costs</t>
  </si>
  <si>
    <t>Weight of bull at salvage, lbs/hd</t>
  </si>
  <si>
    <t>Purchase price of bull, $/hd</t>
  </si>
  <si>
    <t>Salvage sale price, $/lb</t>
  </si>
  <si>
    <t>Salvage value, $/hd</t>
  </si>
  <si>
    <t>Annual carrying cost, $/hd</t>
  </si>
  <si>
    <t>Interest rate, %</t>
  </si>
  <si>
    <t>Hay</t>
  </si>
  <si>
    <t>Labor</t>
  </si>
  <si>
    <t>Interest</t>
  </si>
  <si>
    <t>Salt and mineral</t>
  </si>
  <si>
    <t>Protein</t>
  </si>
  <si>
    <t>$/ac</t>
  </si>
  <si>
    <t>Other feed</t>
  </si>
  <si>
    <t>Days</t>
  </si>
  <si>
    <t>Lbs/day</t>
  </si>
  <si>
    <t>$/ton</t>
  </si>
  <si>
    <t>Sub-total</t>
  </si>
  <si>
    <t>Crop residue</t>
  </si>
  <si>
    <t>Total feed</t>
  </si>
  <si>
    <t>$/hr</t>
  </si>
  <si>
    <t>hrs/yr</t>
  </si>
  <si>
    <t>Annual bull death loss, %</t>
  </si>
  <si>
    <t>Utilities, fuel and oil</t>
  </si>
  <si>
    <t>Facility and equipment repairs</t>
  </si>
  <si>
    <t>Vet, drugs, and supplies</t>
  </si>
  <si>
    <t>Cow-to-bull ratio (cows per bull)</t>
  </si>
  <si>
    <t>End of yr</t>
  </si>
  <si>
    <t>Single bull = 1 vs. battery of bulls = 0</t>
  </si>
  <si>
    <t>Total annual bull cost, $/hd</t>
  </si>
  <si>
    <t>100% Bull Power -- Calculations for "battery" of bulls</t>
  </si>
  <si>
    <t>AI + Clean-up Bulls -- Calculations for "battery" of bulls</t>
  </si>
  <si>
    <t>AI plus</t>
  </si>
  <si>
    <t>Clean-up bulls</t>
  </si>
  <si>
    <t>100% bull</t>
  </si>
  <si>
    <t>power</t>
  </si>
  <si>
    <t>Estimate of Annual Bull Carrying Costs</t>
  </si>
  <si>
    <t>Bull Costs</t>
  </si>
  <si>
    <t>Salvage value, %</t>
  </si>
  <si>
    <t>Insurance and tax rate, %</t>
  </si>
  <si>
    <t>Equipment</t>
  </si>
  <si>
    <t>Investment, $/hd</t>
  </si>
  <si>
    <t>Useful life, years</t>
  </si>
  <si>
    <t>Facilities</t>
  </si>
  <si>
    <t>acres</t>
  </si>
  <si>
    <t>Summer pasture</t>
  </si>
  <si>
    <t>Total non-feed variable costs</t>
  </si>
  <si>
    <t>Interest on feed and non-feed operating costs</t>
  </si>
  <si>
    <t>Depreciation</t>
  </si>
  <si>
    <t>Insurance and taxes</t>
  </si>
  <si>
    <t>Total facility and equipment costs</t>
  </si>
  <si>
    <t>Total Annual Cost, $/head</t>
  </si>
  <si>
    <t>Non-feed Operating Costs, $/head</t>
  </si>
  <si>
    <t>Feed Costs, $/head</t>
  </si>
  <si>
    <t>Facilities and Equipment Assumptions</t>
  </si>
  <si>
    <t>Miscellaneous</t>
  </si>
  <si>
    <t>Facility and Equipment Costs, $/head (see assumptions below)</t>
  </si>
  <si>
    <t>n/a</t>
  </si>
  <si>
    <t>Semen cost, $/hd</t>
  </si>
  <si>
    <t>Grain/concentrate</t>
  </si>
  <si>
    <t>Calculated number of bulls (unrounded)</t>
  </si>
  <si>
    <t>"Trigger" to round number of bulls up</t>
  </si>
  <si>
    <t>Portion of bull</t>
  </si>
  <si>
    <t>Decimal places to round to</t>
  </si>
  <si>
    <t>Number of females bred</t>
  </si>
  <si>
    <t>Number of bulls needed</t>
  </si>
  <si>
    <t>Cost per female exposed</t>
  </si>
  <si>
    <t>Total Cost per Female Bred</t>
  </si>
  <si>
    <t>CIDR</t>
  </si>
  <si>
    <t>GnRH</t>
  </si>
  <si>
    <t>Prostaglandin</t>
  </si>
  <si>
    <t>Other</t>
  </si>
  <si>
    <t>Units</t>
  </si>
  <si>
    <t>$/unit</t>
  </si>
  <si>
    <t>Estimate of Artificial Insemination Costs</t>
  </si>
  <si>
    <t>Synchronization products</t>
  </si>
  <si>
    <t>Semen</t>
  </si>
  <si>
    <t>Total Cost, $/head</t>
  </si>
  <si>
    <t>Total A.I. program cost, $/hd</t>
  </si>
  <si>
    <t>(due to age, genetics, gender, etc.)</t>
  </si>
  <si>
    <t>Inputs for formula and intermediate calculations</t>
  </si>
  <si>
    <t>Notes -- this tab left blank intentionally for notes</t>
  </si>
  <si>
    <t>Breeding seasons, years</t>
  </si>
  <si>
    <t>Annual bull ownership costs, $/hd</t>
  </si>
  <si>
    <t>Synchonization program costs, $/hd</t>
  </si>
  <si>
    <t>Labor and other costs, $/hd</t>
  </si>
  <si>
    <t>Total Breeding Cost per Female Bred</t>
  </si>
  <si>
    <t>Total Breeding Cost per Female Exposed</t>
  </si>
  <si>
    <t>Kansas State University</t>
  </si>
  <si>
    <t>Dustin L. Pendell, Ph.D.</t>
  </si>
  <si>
    <t>Agricultural Economist</t>
  </si>
  <si>
    <t>Sandy Johnson, Ph.D.</t>
  </si>
  <si>
    <t>Livestock Specialist</t>
  </si>
  <si>
    <t>Expected AI pregnancy rate, %</t>
  </si>
  <si>
    <t>Final Pregnancy rate, %</t>
  </si>
  <si>
    <t>Added Value of A.I. Sired Calf at Weaning, $/hd</t>
  </si>
  <si>
    <t>Breeding soundness exam, Trichomanisis test</t>
  </si>
  <si>
    <t>AI Technician Fee</t>
  </si>
  <si>
    <t>Chute Charge</t>
  </si>
  <si>
    <t>KSU-Bull vs AI Breeding Costs</t>
  </si>
  <si>
    <t>An Excel spreadsheet to evaluate the economic costs and benefits of natural (bull) breeding versus artificial insemination (AI) in beef herds</t>
  </si>
  <si>
    <t>Version- 11.11.2015</t>
  </si>
  <si>
    <t>INTRODUCTION</t>
  </si>
  <si>
    <t>A spreadsheet program to calculate the net present value of purchasing replacment heifers given expectations for calf selling price, weaning weights, cull cow price, and a target rate of return on investment.</t>
  </si>
  <si>
    <t>INSTRUCTIONS FOR THE USER:</t>
  </si>
  <si>
    <r>
      <t xml:space="preserve">Be sure to </t>
    </r>
    <r>
      <rPr>
        <b/>
        <sz val="12"/>
        <rFont val="Calibri"/>
        <family val="2"/>
        <scheme val="minor"/>
      </rPr>
      <t xml:space="preserve">"Enable Content" </t>
    </r>
    <r>
      <rPr>
        <sz val="12"/>
        <rFont val="Calibri"/>
        <family val="2"/>
        <scheme val="minor"/>
      </rPr>
      <t xml:space="preserve">and </t>
    </r>
    <r>
      <rPr>
        <b/>
        <sz val="12"/>
        <rFont val="Calibri"/>
        <family val="2"/>
        <scheme val="minor"/>
      </rPr>
      <t>"Enable Macros"</t>
    </r>
    <r>
      <rPr>
        <sz val="12"/>
        <rFont val="Calibri"/>
        <family val="2"/>
        <scheme val="minor"/>
      </rPr>
      <t xml:space="preserve"> for the spreadsheet to function correctly.</t>
    </r>
  </si>
  <si>
    <t>FOR MORE INFORMATION:</t>
  </si>
  <si>
    <t>Updated  by:</t>
  </si>
  <si>
    <t>Department of Agricultural Economics</t>
  </si>
  <si>
    <t>Northwest Research and Extension Center</t>
  </si>
  <si>
    <t>dpendell@k-state.edu</t>
  </si>
  <si>
    <t>sandyj@ksu.edu</t>
  </si>
  <si>
    <t>785-532-3525</t>
  </si>
  <si>
    <t>785-462-6281</t>
  </si>
  <si>
    <t>ACKNOWLEDGEMENTS:</t>
  </si>
  <si>
    <t>Copyright 2016 AgManager.info, K-State Department of Agricultural Economics</t>
  </si>
  <si>
    <r>
      <t xml:space="preserve">In the </t>
    </r>
    <r>
      <rPr>
        <b/>
        <u/>
        <sz val="12"/>
        <rFont val="Calibri"/>
        <family val="2"/>
        <scheme val="minor"/>
      </rPr>
      <t>Comparison,</t>
    </r>
    <r>
      <rPr>
        <sz val="12"/>
        <rFont val="Calibri"/>
        <family val="2"/>
        <scheme val="minor"/>
      </rPr>
      <t xml:space="preserve"> </t>
    </r>
    <r>
      <rPr>
        <b/>
        <u/>
        <sz val="12"/>
        <rFont val="Calibri"/>
        <family val="2"/>
        <scheme val="minor"/>
      </rPr>
      <t>Bull carrying cost details</t>
    </r>
    <r>
      <rPr>
        <sz val="12"/>
        <rFont val="Calibri"/>
        <family val="2"/>
        <scheme val="minor"/>
      </rPr>
      <t>, and</t>
    </r>
    <r>
      <rPr>
        <b/>
        <u/>
        <sz val="12"/>
        <rFont val="Calibri"/>
        <family val="2"/>
        <scheme val="minor"/>
      </rPr>
      <t xml:space="preserve"> AI cost details</t>
    </r>
    <r>
      <rPr>
        <sz val="12"/>
        <rFont val="Calibri"/>
        <family val="2"/>
        <scheme val="minor"/>
      </rPr>
      <t xml:space="preserve"> tab all </t>
    </r>
    <r>
      <rPr>
        <b/>
        <sz val="12"/>
        <color rgb="FF0070C0"/>
        <rFont val="Calibri"/>
        <family val="2"/>
        <scheme val="minor"/>
      </rPr>
      <t>blue</t>
    </r>
    <r>
      <rPr>
        <sz val="12"/>
        <rFont val="Calibri"/>
        <family val="2"/>
        <scheme val="minor"/>
      </rPr>
      <t xml:space="preserve"> numbers are inputs and all black numbers are calculated from these inputs (</t>
    </r>
    <r>
      <rPr>
        <b/>
        <sz val="12"/>
        <color rgb="FF008000"/>
        <rFont val="Calibri"/>
        <family val="2"/>
        <scheme val="minor"/>
      </rPr>
      <t>green</t>
    </r>
    <r>
      <rPr>
        <sz val="12"/>
        <rFont val="Calibri"/>
        <family val="2"/>
        <scheme val="minor"/>
      </rPr>
      <t xml:space="preserve"> values are "pulled" from another tab).  Several input cells (i.e., </t>
    </r>
    <r>
      <rPr>
        <b/>
        <sz val="12"/>
        <color rgb="FF0070C0"/>
        <rFont val="Calibri"/>
        <family val="2"/>
        <scheme val="minor"/>
      </rPr>
      <t>blue number</t>
    </r>
    <r>
      <rPr>
        <sz val="12"/>
        <rFont val="Calibri"/>
        <family val="2"/>
        <scheme val="minor"/>
      </rPr>
      <t xml:space="preserve">) have a </t>
    </r>
    <r>
      <rPr>
        <b/>
        <sz val="12"/>
        <color rgb="FFC00000"/>
        <rFont val="Calibri"/>
        <family val="2"/>
        <scheme val="minor"/>
      </rPr>
      <t xml:space="preserve">red diamond </t>
    </r>
    <r>
      <rPr>
        <sz val="12"/>
        <rFont val="Calibri"/>
        <family val="2"/>
        <scheme val="minor"/>
      </rPr>
      <t>in the upper right hand corner of the cell.  By moving your mouse cursor over this diamond, a brief description of the input will be displayed on the screen.</t>
    </r>
  </si>
  <si>
    <t>Originally developed by:</t>
  </si>
  <si>
    <t>Kevin C. Dhuyvetter, Ph.D.</t>
  </si>
  <si>
    <t>Former Extension Agricultural Economist</t>
  </si>
  <si>
    <t>L. Curt Vogel, DVM</t>
  </si>
  <si>
    <t>Associate Veterinarian</t>
  </si>
  <si>
    <t>Western Edge Veterinary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</si>
</sst>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44" formatCode="_(&quot;$&quot;* #,##0.00_);_(&quot;$&quot;* \(#,##0.00\);_(&quot;$&quot;* &quot;-&quot;??_);_(@_)"/>
    <numFmt numFmtId="164" formatCode="&quot;$&quot;#,##0.00"/>
    <numFmt numFmtId="165" formatCode="&quot;$&quot;#,##0"/>
    <numFmt numFmtId="166" formatCode="0.0"/>
    <numFmt numFmtId="167" formatCode="0.0000"/>
    <numFmt numFmtId="168" formatCode="0.0%"/>
  </numFmts>
  <fonts count="42" x14ac:knownFonts="1">
    <font>
      <sz val="10"/>
      <name val="Arial"/>
    </font>
    <font>
      <sz val="10"/>
      <name val="Arial"/>
      <family val="2"/>
    </font>
    <font>
      <sz val="8"/>
      <name val="Arial"/>
      <family val="2"/>
    </font>
    <font>
      <u/>
      <sz val="10"/>
      <color theme="10"/>
      <name val="Arial"/>
      <family val="2"/>
    </font>
    <font>
      <b/>
      <sz val="12"/>
      <name val="Calibri"/>
      <family val="2"/>
      <scheme val="minor"/>
    </font>
    <font>
      <sz val="11"/>
      <name val="Calibri"/>
      <family val="2"/>
      <scheme val="minor"/>
    </font>
    <font>
      <b/>
      <sz val="11"/>
      <name val="Calibri"/>
      <family val="2"/>
      <scheme val="minor"/>
    </font>
    <font>
      <sz val="11"/>
      <color rgb="FF0033CC"/>
      <name val="Calibri"/>
      <family val="2"/>
      <scheme val="minor"/>
    </font>
    <font>
      <sz val="10"/>
      <name val="Arial"/>
      <family val="2"/>
    </font>
    <font>
      <sz val="11"/>
      <color rgb="FF0000FF"/>
      <name val="Calibri"/>
      <family val="2"/>
      <scheme val="minor"/>
    </font>
    <font>
      <sz val="10"/>
      <color indexed="81"/>
      <name val="Calibri"/>
      <family val="2"/>
      <scheme val="minor"/>
    </font>
    <font>
      <b/>
      <sz val="10"/>
      <color indexed="81"/>
      <name val="Calibri"/>
      <family val="2"/>
      <scheme val="minor"/>
    </font>
    <font>
      <u/>
      <sz val="11"/>
      <name val="Calibri"/>
      <family val="2"/>
      <scheme val="minor"/>
    </font>
    <font>
      <b/>
      <u/>
      <sz val="10"/>
      <color indexed="81"/>
      <name val="Calibri"/>
      <family val="2"/>
      <scheme val="minor"/>
    </font>
    <font>
      <sz val="12"/>
      <name val="Arial"/>
      <family val="2"/>
    </font>
    <font>
      <u/>
      <sz val="14.4"/>
      <color indexed="12"/>
      <name val="Arial"/>
      <family val="2"/>
    </font>
    <font>
      <sz val="11"/>
      <color rgb="FF008000"/>
      <name val="Calibri"/>
      <family val="2"/>
      <scheme val="minor"/>
    </font>
    <font>
      <sz val="9"/>
      <color indexed="81"/>
      <name val="Tahoma"/>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sz val="12"/>
      <name val="Arial"/>
      <family val="2"/>
    </font>
    <font>
      <b/>
      <u/>
      <sz val="12"/>
      <name val="Calibri"/>
      <family val="2"/>
      <scheme val="minor"/>
    </font>
    <font>
      <sz val="12"/>
      <name val="Calibri"/>
      <family val="2"/>
      <scheme val="minor"/>
    </font>
    <font>
      <b/>
      <sz val="12"/>
      <color rgb="FF0070C0"/>
      <name val="Calibri"/>
      <family val="2"/>
      <scheme val="minor"/>
    </font>
    <font>
      <b/>
      <sz val="12"/>
      <color rgb="FFC00000"/>
      <name val="Calibri"/>
      <family val="2"/>
      <scheme val="minor"/>
    </font>
    <font>
      <sz val="11"/>
      <name val="Arial"/>
      <family val="2"/>
    </font>
    <font>
      <u/>
      <sz val="10"/>
      <color indexed="12"/>
      <name val="Arial"/>
      <family val="2"/>
    </font>
    <font>
      <u/>
      <sz val="12"/>
      <color indexed="12"/>
      <name val="Calibri"/>
      <family val="2"/>
      <scheme val="minor"/>
    </font>
    <font>
      <b/>
      <sz val="12"/>
      <color rgb="FF008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7C80"/>
        <bgColor indexed="64"/>
      </patternFill>
    </fill>
    <fill>
      <patternFill patternType="solid">
        <fgColor rgb="FF66FF66"/>
        <bgColor indexed="64"/>
      </patternFill>
    </fill>
    <fill>
      <patternFill patternType="solid">
        <fgColor rgb="FFFFFF99"/>
        <bgColor indexed="64"/>
      </patternFill>
    </fill>
    <fill>
      <patternFill patternType="solid">
        <fgColor rgb="FF7030A0"/>
        <bgColor indexed="64"/>
      </patternFill>
    </fill>
  </fills>
  <borders count="35">
    <border>
      <left/>
      <right/>
      <top/>
      <bottom/>
      <diagonal/>
    </border>
    <border>
      <left/>
      <right/>
      <top/>
      <bottom style="medium">
        <color auto="1"/>
      </bottom>
      <diagonal/>
    </border>
    <border>
      <left/>
      <right/>
      <top/>
      <bottom style="thin">
        <color auto="1"/>
      </bottom>
      <diagonal/>
    </border>
    <border>
      <left/>
      <right/>
      <top style="thin">
        <color auto="1"/>
      </top>
      <bottom/>
      <diagonal/>
    </border>
    <border>
      <left/>
      <right/>
      <top style="medium">
        <color auto="1"/>
      </top>
      <bottom/>
      <diagonal/>
    </border>
    <border>
      <left/>
      <right/>
      <top/>
      <bottom style="thick">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1"/>
      </top>
      <bottom style="medium">
        <color theme="1"/>
      </bottom>
      <diagonal/>
    </border>
    <border>
      <left style="thin">
        <color theme="0" tint="-0.24994659260841701"/>
      </left>
      <right style="thin">
        <color theme="0" tint="-0.24994659260841701"/>
      </right>
      <top style="thin">
        <color theme="1"/>
      </top>
      <bottom style="medium">
        <color theme="1"/>
      </bottom>
      <diagonal/>
    </border>
    <border>
      <left style="thin">
        <color theme="0" tint="-0.24994659260841701"/>
      </left>
      <right/>
      <top style="thin">
        <color theme="1"/>
      </top>
      <bottom style="medium">
        <color theme="1"/>
      </bottom>
      <diagonal/>
    </border>
    <border>
      <left/>
      <right/>
      <top style="double">
        <color theme="1"/>
      </top>
      <bottom style="medium">
        <color theme="1"/>
      </bottom>
      <diagonal/>
    </border>
    <border>
      <left/>
      <right style="thin">
        <color theme="0" tint="-0.24994659260841701"/>
      </right>
      <top style="double">
        <color theme="1"/>
      </top>
      <bottom style="medium">
        <color theme="1"/>
      </bottom>
      <diagonal/>
    </border>
    <border>
      <left style="thin">
        <color theme="0" tint="-0.24994659260841701"/>
      </left>
      <right style="thin">
        <color theme="0" tint="-0.24994659260841701"/>
      </right>
      <top style="double">
        <color theme="1"/>
      </top>
      <bottom style="medium">
        <color theme="1"/>
      </bottom>
      <diagonal/>
    </border>
    <border>
      <left style="thin">
        <color theme="0" tint="-0.24994659260841701"/>
      </left>
      <right/>
      <top style="double">
        <color theme="1"/>
      </top>
      <bottom style="medium">
        <color theme="1"/>
      </bottom>
      <diagonal/>
    </border>
    <border>
      <left/>
      <right/>
      <top style="thin">
        <color theme="0" tint="-0.24994659260841701"/>
      </top>
      <bottom style="double">
        <color theme="1"/>
      </bottom>
      <diagonal/>
    </border>
    <border>
      <left/>
      <right/>
      <top style="thin">
        <color auto="1"/>
      </top>
      <bottom style="thin">
        <color theme="0" tint="-0.24994659260841701"/>
      </bottom>
      <diagonal/>
    </border>
    <border>
      <left/>
      <right style="thin">
        <color theme="0" tint="-0.24994659260841701"/>
      </right>
      <top style="thin">
        <color auto="1"/>
      </top>
      <bottom style="thin">
        <color theme="0" tint="-0.24994659260841701"/>
      </bottom>
      <diagonal/>
    </border>
    <border>
      <left/>
      <right style="thin">
        <color theme="0" tint="-0.24994659260841701"/>
      </right>
      <top style="thin">
        <color theme="1"/>
      </top>
      <bottom style="medium">
        <color auto="1"/>
      </bottom>
      <diagonal/>
    </border>
    <border>
      <left/>
      <right/>
      <top style="thin">
        <color theme="0" tint="-0.24994659260841701"/>
      </top>
      <bottom/>
      <diagonal/>
    </border>
    <border>
      <left/>
      <right/>
      <top style="thin">
        <color theme="1"/>
      </top>
      <bottom style="medium">
        <color auto="1"/>
      </bottom>
      <diagonal/>
    </border>
  </borders>
  <cellStyleXfs count="9">
    <xf numFmtId="0" fontId="0" fillId="0" borderId="0"/>
    <xf numFmtId="44" fontId="1" fillId="0" borderId="0" applyFont="0" applyFill="0" applyBorder="0" applyAlignment="0" applyProtection="0"/>
    <xf numFmtId="0" fontId="3" fillId="0" borderId="0" applyNumberFormat="0" applyFill="0" applyBorder="0" applyAlignment="0" applyProtection="0"/>
    <xf numFmtId="9" fontId="8" fillId="0" borderId="0" applyFont="0" applyFill="0" applyBorder="0" applyAlignment="0" applyProtection="0"/>
    <xf numFmtId="0" fontId="14" fillId="0" borderId="0"/>
    <xf numFmtId="0" fontId="15"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cellStyleXfs>
  <cellXfs count="217">
    <xf numFmtId="0" fontId="0" fillId="0" borderId="0" xfId="0"/>
    <xf numFmtId="0" fontId="5" fillId="0" borderId="0" xfId="0" applyFont="1" applyFill="1" applyProtection="1"/>
    <xf numFmtId="0" fontId="5" fillId="0" borderId="0" xfId="0" applyFont="1" applyFill="1" applyProtection="1">
      <protection locked="0"/>
    </xf>
    <xf numFmtId="0" fontId="5" fillId="0" borderId="1" xfId="0" applyFont="1" applyFill="1" applyBorder="1" applyProtection="1"/>
    <xf numFmtId="0" fontId="6" fillId="0" borderId="0" xfId="0" applyFont="1" applyFill="1" applyBorder="1" applyProtection="1"/>
    <xf numFmtId="0" fontId="5" fillId="0" borderId="0" xfId="0" applyFont="1" applyFill="1" applyBorder="1" applyProtection="1"/>
    <xf numFmtId="0" fontId="5" fillId="0" borderId="0" xfId="0" applyFont="1" applyFill="1" applyBorder="1" applyAlignment="1" applyProtection="1">
      <alignment horizontal="center"/>
    </xf>
    <xf numFmtId="0" fontId="5" fillId="0" borderId="0" xfId="0" applyFont="1" applyFill="1" applyAlignment="1" applyProtection="1">
      <alignment horizontal="left" indent="1"/>
    </xf>
    <xf numFmtId="166" fontId="9" fillId="0" borderId="0" xfId="0" applyNumberFormat="1" applyFont="1" applyFill="1" applyAlignment="1" applyProtection="1">
      <alignment horizontal="right" indent="1"/>
      <protection locked="0"/>
    </xf>
    <xf numFmtId="164" fontId="9" fillId="0" borderId="0" xfId="0" applyNumberFormat="1" applyFont="1" applyFill="1" applyAlignment="1" applyProtection="1">
      <alignment horizontal="right" indent="1"/>
      <protection locked="0"/>
    </xf>
    <xf numFmtId="7" fontId="5" fillId="0" borderId="0" xfId="1" applyNumberFormat="1" applyFont="1" applyFill="1" applyAlignment="1" applyProtection="1">
      <alignment horizontal="right"/>
    </xf>
    <xf numFmtId="0" fontId="12" fillId="0" borderId="0" xfId="0" applyFont="1" applyFill="1" applyAlignment="1" applyProtection="1">
      <alignment horizontal="center"/>
    </xf>
    <xf numFmtId="0" fontId="5" fillId="0" borderId="0" xfId="0" applyFont="1" applyFill="1" applyAlignment="1" applyProtection="1">
      <alignment horizontal="left" indent="2"/>
    </xf>
    <xf numFmtId="0" fontId="9" fillId="0" borderId="0" xfId="0" applyFont="1" applyFill="1" applyAlignment="1" applyProtection="1">
      <alignment horizontal="right" indent="1"/>
      <protection locked="0"/>
    </xf>
    <xf numFmtId="0" fontId="5" fillId="0" borderId="2" xfId="0" applyFont="1" applyFill="1" applyBorder="1" applyAlignment="1" applyProtection="1">
      <alignment horizontal="left" indent="2"/>
    </xf>
    <xf numFmtId="0" fontId="5" fillId="0" borderId="2" xfId="0" applyFont="1" applyFill="1" applyBorder="1" applyProtection="1"/>
    <xf numFmtId="7" fontId="5" fillId="0" borderId="2" xfId="1" applyNumberFormat="1" applyFont="1" applyFill="1" applyBorder="1" applyAlignment="1" applyProtection="1">
      <alignment horizontal="right"/>
    </xf>
    <xf numFmtId="7" fontId="5" fillId="0" borderId="0" xfId="0" applyNumberFormat="1" applyFont="1" applyFill="1" applyProtection="1"/>
    <xf numFmtId="0" fontId="6" fillId="0" borderId="0" xfId="0" applyFont="1" applyFill="1" applyProtection="1"/>
    <xf numFmtId="7" fontId="9" fillId="0" borderId="0" xfId="1" applyNumberFormat="1" applyFont="1" applyFill="1" applyAlignment="1" applyProtection="1">
      <alignment horizontal="right"/>
      <protection locked="0"/>
    </xf>
    <xf numFmtId="0" fontId="5" fillId="0" borderId="3" xfId="0" applyFont="1" applyFill="1" applyBorder="1" applyProtection="1"/>
    <xf numFmtId="7" fontId="5" fillId="0" borderId="3" xfId="1" applyNumberFormat="1" applyFont="1" applyFill="1" applyBorder="1" applyAlignment="1" applyProtection="1">
      <alignment horizontal="right"/>
    </xf>
    <xf numFmtId="0" fontId="6" fillId="0" borderId="1" xfId="0" applyFont="1" applyFill="1" applyBorder="1" applyProtection="1"/>
    <xf numFmtId="7" fontId="6" fillId="0" borderId="1" xfId="1" applyNumberFormat="1" applyFont="1" applyFill="1" applyBorder="1" applyAlignment="1" applyProtection="1">
      <alignment horizontal="right"/>
    </xf>
    <xf numFmtId="0" fontId="6" fillId="0" borderId="4" xfId="0" applyFont="1" applyFill="1" applyBorder="1" applyProtection="1"/>
    <xf numFmtId="0" fontId="5" fillId="0" borderId="4" xfId="0" applyFont="1" applyFill="1" applyBorder="1" applyProtection="1"/>
    <xf numFmtId="0" fontId="5" fillId="0" borderId="2" xfId="0" applyFont="1" applyFill="1" applyBorder="1" applyAlignment="1" applyProtection="1">
      <alignment horizontal="center"/>
    </xf>
    <xf numFmtId="168" fontId="9" fillId="0" borderId="0" xfId="0" applyNumberFormat="1" applyFont="1" applyFill="1" applyAlignment="1" applyProtection="1">
      <alignment horizontal="right" indent="1"/>
      <protection locked="0"/>
    </xf>
    <xf numFmtId="0" fontId="5" fillId="0" borderId="1" xfId="0" applyFont="1" applyFill="1" applyBorder="1" applyAlignment="1" applyProtection="1">
      <alignment horizontal="left" indent="1"/>
    </xf>
    <xf numFmtId="10" fontId="9" fillId="0" borderId="1" xfId="0" applyNumberFormat="1" applyFont="1" applyFill="1" applyBorder="1" applyAlignment="1" applyProtection="1">
      <alignment horizontal="right" indent="1"/>
      <protection locked="0"/>
    </xf>
    <xf numFmtId="7" fontId="5" fillId="0" borderId="1" xfId="1" applyNumberFormat="1" applyFont="1" applyFill="1" applyBorder="1" applyAlignment="1" applyProtection="1">
      <alignment horizontal="right"/>
    </xf>
    <xf numFmtId="0" fontId="9" fillId="0" borderId="0" xfId="0" applyFont="1" applyFill="1" applyAlignment="1" applyProtection="1">
      <alignment horizontal="left" indent="1"/>
    </xf>
    <xf numFmtId="0" fontId="5" fillId="0" borderId="3" xfId="0" applyFont="1" applyFill="1" applyBorder="1" applyAlignment="1" applyProtection="1">
      <alignment horizontal="left" indent="2"/>
    </xf>
    <xf numFmtId="0" fontId="5" fillId="0" borderId="0" xfId="0" applyFont="1" applyProtection="1">
      <protection locked="0"/>
    </xf>
    <xf numFmtId="0" fontId="6" fillId="0" borderId="0" xfId="0" applyFont="1" applyProtection="1">
      <protection locked="0"/>
    </xf>
    <xf numFmtId="0" fontId="5" fillId="0" borderId="0" xfId="0" applyFont="1" applyBorder="1" applyProtection="1">
      <protection locked="0"/>
    </xf>
    <xf numFmtId="0" fontId="7" fillId="5" borderId="0" xfId="0" applyFont="1" applyFill="1" applyBorder="1" applyAlignment="1" applyProtection="1">
      <alignment horizontal="right" indent="1"/>
      <protection locked="0"/>
    </xf>
    <xf numFmtId="0" fontId="9" fillId="5" borderId="0" xfId="0" applyFont="1" applyFill="1" applyBorder="1" applyAlignment="1" applyProtection="1">
      <alignment horizontal="right" indent="1"/>
      <protection locked="0"/>
    </xf>
    <xf numFmtId="165" fontId="9" fillId="2" borderId="14" xfId="0" applyNumberFormat="1" applyFont="1" applyFill="1" applyBorder="1" applyAlignment="1" applyProtection="1">
      <alignment horizontal="right" indent="1"/>
      <protection locked="0"/>
    </xf>
    <xf numFmtId="165" fontId="9" fillId="2" borderId="15" xfId="0" applyNumberFormat="1" applyFont="1" applyFill="1" applyBorder="1" applyAlignment="1" applyProtection="1">
      <alignment horizontal="right" indent="1"/>
      <protection locked="0"/>
    </xf>
    <xf numFmtId="3" fontId="9" fillId="2" borderId="20" xfId="0" applyNumberFormat="1" applyFont="1" applyFill="1" applyBorder="1" applyAlignment="1" applyProtection="1">
      <alignment horizontal="right" indent="1"/>
      <protection locked="0"/>
    </xf>
    <xf numFmtId="3" fontId="9" fillId="2" borderId="21" xfId="0" applyNumberFormat="1" applyFont="1" applyFill="1" applyBorder="1" applyAlignment="1" applyProtection="1">
      <alignment horizontal="right" indent="1"/>
      <protection locked="0"/>
    </xf>
    <xf numFmtId="164" fontId="9" fillId="2" borderId="20" xfId="0" applyNumberFormat="1" applyFont="1" applyFill="1" applyBorder="1" applyAlignment="1" applyProtection="1">
      <alignment horizontal="right" indent="1"/>
      <protection locked="0"/>
    </xf>
    <xf numFmtId="164" fontId="9" fillId="2" borderId="21" xfId="0" applyNumberFormat="1" applyFont="1" applyFill="1" applyBorder="1" applyAlignment="1" applyProtection="1">
      <alignment horizontal="right" indent="1"/>
      <protection locked="0"/>
    </xf>
    <xf numFmtId="0" fontId="9" fillId="2" borderId="20" xfId="0" applyFont="1" applyFill="1" applyBorder="1" applyAlignment="1" applyProtection="1">
      <alignment horizontal="right" indent="1"/>
      <protection locked="0"/>
    </xf>
    <xf numFmtId="0" fontId="9" fillId="2" borderId="21" xfId="0" applyFont="1" applyFill="1" applyBorder="1" applyAlignment="1" applyProtection="1">
      <alignment horizontal="right" indent="1"/>
      <protection locked="0"/>
    </xf>
    <xf numFmtId="168" fontId="9" fillId="2" borderId="20" xfId="0" applyNumberFormat="1" applyFont="1" applyFill="1" applyBorder="1" applyAlignment="1" applyProtection="1">
      <alignment horizontal="right" indent="1"/>
      <protection locked="0"/>
    </xf>
    <xf numFmtId="168" fontId="9" fillId="2" borderId="21" xfId="0" applyNumberFormat="1" applyFont="1" applyFill="1" applyBorder="1" applyAlignment="1" applyProtection="1">
      <alignment horizontal="right" indent="1"/>
      <protection locked="0"/>
    </xf>
    <xf numFmtId="10" fontId="9" fillId="2" borderId="20" xfId="0" applyNumberFormat="1" applyFont="1" applyFill="1" applyBorder="1" applyAlignment="1" applyProtection="1">
      <alignment horizontal="right" indent="1"/>
      <protection locked="0"/>
    </xf>
    <xf numFmtId="168" fontId="9" fillId="2" borderId="14" xfId="0" applyNumberFormat="1" applyFont="1" applyFill="1" applyBorder="1" applyAlignment="1" applyProtection="1">
      <alignment horizontal="right" indent="1"/>
      <protection locked="0"/>
    </xf>
    <xf numFmtId="168" fontId="9" fillId="2" borderId="15" xfId="0" applyNumberFormat="1" applyFont="1" applyFill="1" applyBorder="1" applyAlignment="1" applyProtection="1">
      <alignment horizontal="right" indent="1"/>
      <protection locked="0"/>
    </xf>
    <xf numFmtId="164" fontId="9" fillId="0" borderId="18" xfId="0" applyNumberFormat="1" applyFont="1" applyBorder="1" applyAlignment="1" applyProtection="1">
      <alignment horizontal="right" indent="1"/>
      <protection locked="0"/>
    </xf>
    <xf numFmtId="0" fontId="5" fillId="2" borderId="0" xfId="0" applyFont="1" applyFill="1" applyProtection="1"/>
    <xf numFmtId="0" fontId="4" fillId="2" borderId="5" xfId="0" applyFont="1" applyFill="1" applyBorder="1" applyProtection="1"/>
    <xf numFmtId="0" fontId="5" fillId="2" borderId="5" xfId="0" applyFont="1" applyFill="1" applyBorder="1" applyProtection="1"/>
    <xf numFmtId="164" fontId="5" fillId="2" borderId="0" xfId="0" applyNumberFormat="1" applyFont="1" applyFill="1" applyProtection="1"/>
    <xf numFmtId="0" fontId="6"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 xfId="0" applyFont="1" applyFill="1" applyBorder="1" applyProtection="1"/>
    <xf numFmtId="0" fontId="5" fillId="2" borderId="1" xfId="0" applyFont="1" applyFill="1" applyBorder="1" applyAlignment="1" applyProtection="1">
      <alignment horizontal="center"/>
    </xf>
    <xf numFmtId="0" fontId="5" fillId="2" borderId="1" xfId="0" applyFont="1" applyFill="1" applyBorder="1" applyAlignment="1" applyProtection="1"/>
    <xf numFmtId="0" fontId="6" fillId="2" borderId="0" xfId="0" applyFont="1" applyFill="1" applyBorder="1" applyProtection="1"/>
    <xf numFmtId="0" fontId="5" fillId="2" borderId="0" xfId="0" applyFont="1" applyFill="1" applyBorder="1" applyAlignment="1" applyProtection="1"/>
    <xf numFmtId="0" fontId="5" fillId="2" borderId="13" xfId="0" applyFont="1" applyFill="1" applyBorder="1" applyAlignment="1" applyProtection="1">
      <alignment horizontal="left" indent="1"/>
    </xf>
    <xf numFmtId="0" fontId="5" fillId="2" borderId="14" xfId="0" applyFont="1" applyFill="1" applyBorder="1" applyProtection="1"/>
    <xf numFmtId="0" fontId="5" fillId="2" borderId="19" xfId="0" applyFont="1" applyFill="1" applyBorder="1" applyAlignment="1" applyProtection="1">
      <alignment horizontal="left" indent="1"/>
    </xf>
    <xf numFmtId="0" fontId="5" fillId="2" borderId="20" xfId="0" applyFont="1" applyFill="1" applyBorder="1" applyProtection="1"/>
    <xf numFmtId="165" fontId="5" fillId="2" borderId="20" xfId="0" applyNumberFormat="1" applyFont="1" applyFill="1" applyBorder="1" applyAlignment="1" applyProtection="1">
      <alignment horizontal="right" indent="1"/>
    </xf>
    <xf numFmtId="165" fontId="5" fillId="2" borderId="21" xfId="0" applyNumberFormat="1" applyFont="1" applyFill="1" applyBorder="1" applyAlignment="1" applyProtection="1">
      <alignment horizontal="right" indent="1"/>
    </xf>
    <xf numFmtId="10" fontId="5" fillId="2" borderId="21" xfId="0" applyNumberFormat="1" applyFont="1" applyFill="1" applyBorder="1" applyAlignment="1" applyProtection="1">
      <alignment horizontal="right" indent="1"/>
    </xf>
    <xf numFmtId="165" fontId="16" fillId="2" borderId="20" xfId="0" applyNumberFormat="1" applyFont="1" applyFill="1" applyBorder="1" applyAlignment="1" applyProtection="1">
      <alignment horizontal="right" indent="1"/>
    </xf>
    <xf numFmtId="165" fontId="16" fillId="2" borderId="21" xfId="0" applyNumberFormat="1" applyFont="1" applyFill="1" applyBorder="1" applyAlignment="1" applyProtection="1">
      <alignment horizontal="right" indent="1"/>
    </xf>
    <xf numFmtId="165" fontId="5" fillId="2" borderId="14" xfId="0" quotePrefix="1" applyNumberFormat="1" applyFont="1" applyFill="1" applyBorder="1" applyAlignment="1" applyProtection="1">
      <alignment horizontal="right" indent="1"/>
    </xf>
    <xf numFmtId="165" fontId="5" fillId="2" borderId="14" xfId="0" applyNumberFormat="1" applyFont="1" applyFill="1" applyBorder="1" applyProtection="1"/>
    <xf numFmtId="165" fontId="5" fillId="2" borderId="15" xfId="0" quotePrefix="1" applyNumberFormat="1" applyFont="1" applyFill="1" applyBorder="1" applyAlignment="1" applyProtection="1">
      <alignment horizontal="right" indent="1"/>
    </xf>
    <xf numFmtId="165" fontId="5" fillId="2" borderId="19" xfId="0" applyNumberFormat="1" applyFont="1" applyFill="1" applyBorder="1" applyAlignment="1" applyProtection="1">
      <alignment horizontal="left" indent="1"/>
    </xf>
    <xf numFmtId="165" fontId="5" fillId="2" borderId="20" xfId="0" quotePrefix="1" applyNumberFormat="1" applyFont="1" applyFill="1" applyBorder="1" applyAlignment="1" applyProtection="1">
      <alignment horizontal="right" indent="1"/>
    </xf>
    <xf numFmtId="165" fontId="5" fillId="2" borderId="20" xfId="0" applyNumberFormat="1" applyFont="1" applyFill="1" applyBorder="1" applyProtection="1"/>
    <xf numFmtId="165" fontId="5" fillId="2" borderId="21" xfId="0" quotePrefix="1" applyNumberFormat="1" applyFont="1" applyFill="1" applyBorder="1" applyAlignment="1" applyProtection="1">
      <alignment horizontal="right" indent="1"/>
    </xf>
    <xf numFmtId="0" fontId="6" fillId="2" borderId="0" xfId="0" applyFont="1" applyFill="1" applyBorder="1" applyAlignment="1" applyProtection="1">
      <alignment horizontal="left"/>
    </xf>
    <xf numFmtId="0" fontId="5" fillId="2" borderId="0" xfId="0" applyFont="1" applyFill="1" applyBorder="1" applyAlignment="1" applyProtection="1">
      <alignment horizontal="left"/>
    </xf>
    <xf numFmtId="0" fontId="5" fillId="2" borderId="0" xfId="0" applyFont="1" applyFill="1" applyBorder="1" applyProtection="1"/>
    <xf numFmtId="0" fontId="5" fillId="2" borderId="20" xfId="0" applyFont="1" applyFill="1" applyBorder="1" applyAlignment="1" applyProtection="1">
      <alignment horizontal="right" indent="1"/>
    </xf>
    <xf numFmtId="164" fontId="5" fillId="2" borderId="20" xfId="0" applyNumberFormat="1" applyFont="1" applyFill="1" applyBorder="1" applyAlignment="1" applyProtection="1">
      <alignment horizontal="right" indent="1"/>
    </xf>
    <xf numFmtId="164" fontId="16" fillId="2" borderId="21" xfId="0" applyNumberFormat="1" applyFont="1" applyFill="1" applyBorder="1" applyAlignment="1" applyProtection="1">
      <alignment horizontal="right" indent="1"/>
    </xf>
    <xf numFmtId="164" fontId="5" fillId="2" borderId="21" xfId="0" applyNumberFormat="1" applyFont="1" applyFill="1" applyBorder="1" applyAlignment="1" applyProtection="1">
      <alignment horizontal="right" indent="1"/>
    </xf>
    <xf numFmtId="0" fontId="5" fillId="2" borderId="0" xfId="0" applyFont="1" applyFill="1" applyBorder="1" applyAlignment="1" applyProtection="1">
      <alignment horizontal="right" indent="1"/>
    </xf>
    <xf numFmtId="0" fontId="5" fillId="2" borderId="21" xfId="0" applyFont="1" applyFill="1" applyBorder="1" applyAlignment="1" applyProtection="1">
      <alignment horizontal="right" indent="1"/>
    </xf>
    <xf numFmtId="166" fontId="5" fillId="2" borderId="0" xfId="0" applyNumberFormat="1" applyFont="1" applyFill="1" applyProtection="1"/>
    <xf numFmtId="0" fontId="5" fillId="2" borderId="22" xfId="0" applyFont="1" applyFill="1" applyBorder="1" applyAlignment="1" applyProtection="1">
      <alignment horizontal="left" indent="1"/>
    </xf>
    <xf numFmtId="164" fontId="5" fillId="2" borderId="23" xfId="0" applyNumberFormat="1" applyFont="1" applyFill="1" applyBorder="1" applyAlignment="1" applyProtection="1">
      <alignment horizontal="right" indent="1"/>
    </xf>
    <xf numFmtId="0" fontId="5" fillId="2" borderId="23" xfId="0" applyFont="1" applyFill="1" applyBorder="1" applyProtection="1"/>
    <xf numFmtId="164" fontId="5" fillId="2" borderId="24" xfId="0" applyNumberFormat="1" applyFont="1" applyFill="1" applyBorder="1" applyAlignment="1" applyProtection="1">
      <alignment horizontal="right" indent="1"/>
    </xf>
    <xf numFmtId="0" fontId="5" fillId="2" borderId="0" xfId="0" applyFont="1" applyFill="1" applyBorder="1" applyAlignment="1" applyProtection="1">
      <alignment horizontal="left" indent="1"/>
    </xf>
    <xf numFmtId="164" fontId="5" fillId="2" borderId="0" xfId="0" applyNumberFormat="1" applyFont="1" applyFill="1" applyBorder="1" applyAlignment="1" applyProtection="1">
      <alignment horizontal="right" indent="1"/>
    </xf>
    <xf numFmtId="0" fontId="6" fillId="0" borderId="16" xfId="0" applyFont="1" applyBorder="1" applyAlignment="1" applyProtection="1">
      <alignment horizontal="center"/>
    </xf>
    <xf numFmtId="0" fontId="5" fillId="0" borderId="17" xfId="0" applyFont="1" applyBorder="1" applyAlignment="1" applyProtection="1">
      <alignment horizontal="right" indent="1"/>
    </xf>
    <xf numFmtId="0" fontId="5" fillId="0" borderId="17" xfId="0" applyFont="1" applyBorder="1" applyProtection="1"/>
    <xf numFmtId="0" fontId="6" fillId="2" borderId="0" xfId="0" applyFont="1" applyFill="1" applyProtection="1"/>
    <xf numFmtId="0" fontId="5" fillId="0" borderId="19" xfId="0" applyFont="1" applyBorder="1" applyAlignment="1" applyProtection="1">
      <alignment horizontal="left" indent="1"/>
    </xf>
    <xf numFmtId="0" fontId="6" fillId="0" borderId="20" xfId="0" applyFont="1" applyBorder="1" applyProtection="1"/>
    <xf numFmtId="0" fontId="6" fillId="0" borderId="21" xfId="0" applyFont="1" applyBorder="1" applyProtection="1"/>
    <xf numFmtId="0" fontId="5" fillId="2" borderId="29" xfId="0" applyFont="1" applyFill="1" applyBorder="1" applyProtection="1"/>
    <xf numFmtId="0" fontId="6" fillId="0" borderId="26" xfId="0" applyFont="1" applyBorder="1" applyAlignment="1" applyProtection="1">
      <alignment horizontal="left" indent="1"/>
    </xf>
    <xf numFmtId="164" fontId="6" fillId="0" borderId="27" xfId="0" applyNumberFormat="1" applyFont="1" applyBorder="1" applyAlignment="1" applyProtection="1">
      <alignment horizontal="right" indent="1"/>
    </xf>
    <xf numFmtId="0" fontId="6" fillId="0" borderId="27" xfId="0" applyFont="1" applyBorder="1" applyProtection="1"/>
    <xf numFmtId="164" fontId="6" fillId="0" borderId="28" xfId="0" applyNumberFormat="1" applyFont="1" applyBorder="1" applyAlignment="1" applyProtection="1">
      <alignment horizontal="right" indent="1"/>
    </xf>
    <xf numFmtId="0" fontId="5" fillId="5" borderId="11" xfId="0" applyFont="1" applyFill="1" applyBorder="1" applyProtection="1"/>
    <xf numFmtId="0" fontId="5" fillId="5" borderId="4" xfId="0" applyFont="1" applyFill="1" applyBorder="1" applyProtection="1"/>
    <xf numFmtId="0" fontId="5" fillId="5" borderId="10" xfId="0" applyFont="1" applyFill="1" applyBorder="1" applyProtection="1"/>
    <xf numFmtId="0" fontId="6" fillId="5" borderId="9" xfId="0" applyFont="1" applyFill="1" applyBorder="1" applyProtection="1"/>
    <xf numFmtId="0" fontId="6" fillId="5" borderId="0" xfId="0" applyFont="1" applyFill="1" applyBorder="1" applyProtection="1"/>
    <xf numFmtId="0" fontId="5" fillId="5" borderId="0" xfId="0" applyFont="1" applyFill="1" applyBorder="1" applyProtection="1"/>
    <xf numFmtId="0" fontId="5" fillId="5" borderId="8" xfId="0" applyFont="1" applyFill="1" applyBorder="1" applyProtection="1"/>
    <xf numFmtId="0" fontId="5" fillId="5" borderId="9" xfId="0" applyFont="1" applyFill="1" applyBorder="1" applyAlignment="1" applyProtection="1">
      <alignment horizontal="left" indent="1"/>
    </xf>
    <xf numFmtId="0" fontId="5" fillId="5" borderId="0" xfId="0" applyFont="1" applyFill="1" applyBorder="1" applyAlignment="1" applyProtection="1">
      <alignment horizontal="left" indent="1"/>
    </xf>
    <xf numFmtId="0" fontId="5" fillId="5" borderId="0" xfId="0" applyFont="1" applyFill="1" applyBorder="1" applyAlignment="1" applyProtection="1">
      <alignment horizontal="right" indent="1"/>
    </xf>
    <xf numFmtId="0" fontId="5" fillId="0" borderId="0" xfId="0" applyFont="1" applyProtection="1"/>
    <xf numFmtId="0" fontId="9" fillId="5" borderId="0" xfId="0" applyFont="1" applyFill="1" applyBorder="1" applyProtection="1"/>
    <xf numFmtId="0" fontId="5" fillId="5" borderId="9" xfId="0" applyFont="1" applyFill="1" applyBorder="1" applyProtection="1"/>
    <xf numFmtId="164" fontId="6" fillId="5" borderId="9" xfId="0" quotePrefix="1" applyNumberFormat="1" applyFont="1" applyFill="1" applyBorder="1" applyProtection="1"/>
    <xf numFmtId="164" fontId="6" fillId="5" borderId="0" xfId="0" quotePrefix="1" applyNumberFormat="1" applyFont="1" applyFill="1" applyBorder="1" applyProtection="1"/>
    <xf numFmtId="0" fontId="5" fillId="5" borderId="9" xfId="0" applyFont="1" applyFill="1" applyBorder="1" applyAlignment="1" applyProtection="1">
      <alignment horizontal="right" indent="1"/>
    </xf>
    <xf numFmtId="0" fontId="5" fillId="5" borderId="9" xfId="0" applyFont="1" applyFill="1" applyBorder="1" applyAlignment="1" applyProtection="1">
      <alignment horizontal="right" indent="2"/>
    </xf>
    <xf numFmtId="165" fontId="5" fillId="5" borderId="0" xfId="0" applyNumberFormat="1" applyFont="1" applyFill="1" applyBorder="1" applyAlignment="1" applyProtection="1">
      <alignment horizontal="right" indent="1"/>
    </xf>
    <xf numFmtId="167" fontId="5" fillId="5" borderId="0" xfId="3" applyNumberFormat="1" applyFont="1" applyFill="1" applyBorder="1" applyAlignment="1" applyProtection="1">
      <alignment horizontal="right" indent="1"/>
    </xf>
    <xf numFmtId="167" fontId="5" fillId="5" borderId="8" xfId="0" applyNumberFormat="1" applyFont="1" applyFill="1" applyBorder="1" applyAlignment="1" applyProtection="1">
      <alignment horizontal="right" indent="1"/>
    </xf>
    <xf numFmtId="0" fontId="5" fillId="5" borderId="7" xfId="0" applyFont="1" applyFill="1" applyBorder="1" applyProtection="1"/>
    <xf numFmtId="0" fontId="5" fillId="5" borderId="1" xfId="0" applyFont="1" applyFill="1" applyBorder="1" applyProtection="1"/>
    <xf numFmtId="0" fontId="5" fillId="5" borderId="6" xfId="0" applyFont="1" applyFill="1" applyBorder="1" applyProtection="1"/>
    <xf numFmtId="0" fontId="5" fillId="0" borderId="0" xfId="2" applyFont="1"/>
    <xf numFmtId="0" fontId="9" fillId="0" borderId="0" xfId="0" applyFont="1" applyFill="1" applyAlignment="1" applyProtection="1">
      <alignment horizontal="left" indent="2"/>
      <protection locked="0"/>
    </xf>
    <xf numFmtId="0" fontId="9" fillId="0" borderId="0" xfId="0" applyFont="1" applyFill="1" applyAlignment="1" applyProtection="1">
      <alignment horizontal="left" indent="1"/>
      <protection locked="0"/>
    </xf>
    <xf numFmtId="0" fontId="9" fillId="0" borderId="0" xfId="0" applyFont="1" applyFill="1" applyAlignment="1" applyProtection="1">
      <alignment horizontal="right" indent="1"/>
    </xf>
    <xf numFmtId="164" fontId="9" fillId="0" borderId="0" xfId="0" applyNumberFormat="1" applyFont="1" applyFill="1" applyAlignment="1" applyProtection="1">
      <alignment horizontal="right" indent="1"/>
    </xf>
    <xf numFmtId="0" fontId="4" fillId="2" borderId="0" xfId="0" applyFont="1" applyFill="1" applyProtection="1"/>
    <xf numFmtId="0" fontId="6" fillId="0" borderId="0" xfId="2" applyFont="1"/>
    <xf numFmtId="1" fontId="9" fillId="0" borderId="0" xfId="0" applyNumberFormat="1" applyFont="1" applyFill="1" applyAlignment="1" applyProtection="1">
      <alignment horizontal="right" indent="1"/>
      <protection locked="0"/>
    </xf>
    <xf numFmtId="166" fontId="9" fillId="2" borderId="20" xfId="0" applyNumberFormat="1" applyFont="1" applyFill="1" applyBorder="1" applyAlignment="1" applyProtection="1">
      <alignment horizontal="right" indent="1"/>
      <protection locked="0"/>
    </xf>
    <xf numFmtId="166" fontId="9" fillId="2" borderId="21" xfId="0" applyNumberFormat="1" applyFont="1" applyFill="1" applyBorder="1" applyAlignment="1" applyProtection="1">
      <alignment horizontal="right" indent="1"/>
      <protection locked="0"/>
    </xf>
    <xf numFmtId="0" fontId="1" fillId="0" borderId="0" xfId="6" applyProtection="1"/>
    <xf numFmtId="0" fontId="18" fillId="6" borderId="11" xfId="6" applyFont="1" applyFill="1" applyBorder="1" applyProtection="1"/>
    <xf numFmtId="0" fontId="18" fillId="6" borderId="4" xfId="6" applyFont="1" applyFill="1" applyBorder="1" applyProtection="1"/>
    <xf numFmtId="0" fontId="18" fillId="6" borderId="10" xfId="6" applyFont="1" applyFill="1" applyBorder="1" applyProtection="1"/>
    <xf numFmtId="0" fontId="19" fillId="6" borderId="9" xfId="6" applyFont="1" applyFill="1" applyBorder="1" applyAlignment="1" applyProtection="1"/>
    <xf numFmtId="0" fontId="20" fillId="6" borderId="0" xfId="6" applyFont="1" applyFill="1" applyAlignment="1" applyProtection="1"/>
    <xf numFmtId="0" fontId="21" fillId="6" borderId="0" xfId="6" applyFont="1" applyFill="1" applyBorder="1" applyProtection="1"/>
    <xf numFmtId="0" fontId="18" fillId="6" borderId="0" xfId="6" applyFont="1" applyFill="1" applyBorder="1" applyProtection="1"/>
    <xf numFmtId="0" fontId="18" fillId="6" borderId="8" xfId="6" applyFont="1" applyFill="1" applyBorder="1" applyProtection="1"/>
    <xf numFmtId="0" fontId="21" fillId="6" borderId="9" xfId="6" applyFont="1" applyFill="1" applyBorder="1" applyProtection="1"/>
    <xf numFmtId="0" fontId="22" fillId="6" borderId="0" xfId="6" applyFont="1" applyFill="1" applyBorder="1" applyAlignment="1" applyProtection="1">
      <alignment horizontal="left"/>
    </xf>
    <xf numFmtId="0" fontId="23" fillId="6" borderId="0" xfId="6" applyFont="1" applyFill="1" applyAlignment="1" applyProtection="1">
      <alignment horizontal="left"/>
    </xf>
    <xf numFmtId="0" fontId="24" fillId="6" borderId="0" xfId="6" applyFont="1" applyFill="1" applyAlignment="1" applyProtection="1"/>
    <xf numFmtId="0" fontId="18" fillId="6" borderId="9" xfId="6" applyFont="1" applyFill="1" applyBorder="1" applyAlignment="1" applyProtection="1">
      <alignment horizontal="center"/>
    </xf>
    <xf numFmtId="0" fontId="28" fillId="6" borderId="0" xfId="6" applyFont="1" applyFill="1" applyAlignment="1" applyProtection="1">
      <alignment wrapText="1"/>
    </xf>
    <xf numFmtId="0" fontId="29" fillId="6" borderId="0" xfId="6" applyFont="1" applyFill="1" applyBorder="1" applyProtection="1"/>
    <xf numFmtId="0" fontId="30" fillId="6" borderId="8" xfId="6" applyFont="1" applyFill="1" applyBorder="1" applyProtection="1"/>
    <xf numFmtId="0" fontId="18" fillId="6" borderId="7" xfId="6" applyFont="1" applyFill="1" applyBorder="1" applyProtection="1"/>
    <xf numFmtId="0" fontId="18" fillId="6" borderId="1" xfId="6" applyFont="1" applyFill="1" applyBorder="1" applyProtection="1"/>
    <xf numFmtId="0" fontId="29" fillId="6" borderId="1" xfId="6" applyFont="1" applyFill="1" applyBorder="1" applyProtection="1"/>
    <xf numFmtId="0" fontId="31" fillId="6" borderId="6" xfId="6" applyFont="1" applyFill="1" applyBorder="1" applyAlignment="1" applyProtection="1">
      <alignment horizontal="right"/>
    </xf>
    <xf numFmtId="0" fontId="33" fillId="0" borderId="0" xfId="6" applyFont="1" applyProtection="1"/>
    <xf numFmtId="0" fontId="33" fillId="0" borderId="0" xfId="6" applyFont="1" applyFill="1" applyBorder="1" applyProtection="1"/>
    <xf numFmtId="0" fontId="34" fillId="0" borderId="0" xfId="6" applyFont="1" applyAlignment="1" applyProtection="1"/>
    <xf numFmtId="0" fontId="35" fillId="0" borderId="0" xfId="6" applyFont="1" applyAlignment="1" applyProtection="1"/>
    <xf numFmtId="0" fontId="35" fillId="0" borderId="0" xfId="6" applyFont="1" applyProtection="1"/>
    <xf numFmtId="0" fontId="4" fillId="0" borderId="0" xfId="6" applyFont="1" applyProtection="1"/>
    <xf numFmtId="0" fontId="4" fillId="0" borderId="0" xfId="6" applyFont="1" applyFill="1" applyProtection="1"/>
    <xf numFmtId="0" fontId="35" fillId="0" borderId="0" xfId="6" applyFont="1" applyFill="1" applyProtection="1"/>
    <xf numFmtId="0" fontId="35" fillId="0" borderId="0" xfId="6" applyFont="1" applyAlignment="1" applyProtection="1">
      <alignment wrapText="1"/>
    </xf>
    <xf numFmtId="0" fontId="34" fillId="0" borderId="0" xfId="6" applyFont="1" applyProtection="1"/>
    <xf numFmtId="0" fontId="35" fillId="0" borderId="0" xfId="6" applyFont="1" applyAlignment="1" applyProtection="1">
      <alignment horizontal="center"/>
    </xf>
    <xf numFmtId="0" fontId="38" fillId="0" borderId="0" xfId="6" applyFont="1" applyProtection="1"/>
    <xf numFmtId="0" fontId="40" fillId="0" borderId="0" xfId="7" applyFont="1" applyAlignment="1" applyProtection="1"/>
    <xf numFmtId="0" fontId="40" fillId="0" borderId="0" xfId="8" applyFont="1" applyAlignment="1" applyProtection="1"/>
    <xf numFmtId="0" fontId="35" fillId="0" borderId="0" xfId="7" applyFont="1" applyFill="1" applyAlignment="1" applyProtection="1"/>
    <xf numFmtId="0" fontId="35" fillId="0" borderId="0" xfId="6" applyFont="1" applyFill="1" applyAlignment="1" applyProtection="1"/>
    <xf numFmtId="0" fontId="35" fillId="0" borderId="0" xfId="6" applyFont="1" applyAlignment="1" applyProtection="1"/>
    <xf numFmtId="0" fontId="35" fillId="0" borderId="0" xfId="6" applyFont="1" applyAlignment="1" applyProtection="1">
      <alignment horizontal="left" vertical="top" wrapText="1"/>
    </xf>
    <xf numFmtId="0" fontId="21" fillId="6" borderId="9" xfId="6" applyFont="1" applyFill="1" applyBorder="1" applyAlignment="1" applyProtection="1">
      <alignment horizontal="left" wrapText="1"/>
    </xf>
    <xf numFmtId="0" fontId="25" fillId="6" borderId="0" xfId="6" applyFont="1" applyFill="1" applyAlignment="1" applyProtection="1">
      <alignment wrapText="1"/>
    </xf>
    <xf numFmtId="0" fontId="25" fillId="6" borderId="9" xfId="6" applyFont="1" applyFill="1" applyBorder="1" applyAlignment="1" applyProtection="1">
      <alignment wrapText="1"/>
    </xf>
    <xf numFmtId="0" fontId="26" fillId="0" borderId="0" xfId="6" applyFont="1" applyAlignment="1" applyProtection="1">
      <alignment wrapText="1"/>
    </xf>
    <xf numFmtId="0" fontId="27" fillId="0" borderId="0" xfId="6" applyFont="1" applyAlignment="1" applyProtection="1">
      <alignment wrapText="1"/>
    </xf>
    <xf numFmtId="0" fontId="31" fillId="6" borderId="1" xfId="6" applyFont="1" applyFill="1" applyBorder="1" applyAlignment="1" applyProtection="1">
      <alignment horizontal="right"/>
    </xf>
    <xf numFmtId="0" fontId="28" fillId="6" borderId="1" xfId="6" applyFont="1" applyFill="1" applyBorder="1" applyAlignment="1" applyProtection="1">
      <alignment horizontal="right"/>
    </xf>
    <xf numFmtId="14" fontId="31" fillId="6" borderId="1" xfId="6" applyNumberFormat="1" applyFont="1" applyFill="1" applyBorder="1" applyAlignment="1" applyProtection="1">
      <alignment horizontal="left"/>
    </xf>
    <xf numFmtId="0" fontId="28" fillId="6" borderId="1" xfId="6" applyFont="1" applyFill="1" applyBorder="1" applyAlignment="1" applyProtection="1">
      <alignment horizontal="left"/>
    </xf>
    <xf numFmtId="0" fontId="32" fillId="0" borderId="0" xfId="6" applyFont="1" applyProtection="1"/>
    <xf numFmtId="0" fontId="4" fillId="0" borderId="0" xfId="6" applyFont="1" applyAlignment="1" applyProtection="1">
      <alignment horizontal="left" wrapText="1"/>
    </xf>
    <xf numFmtId="0" fontId="34" fillId="0" borderId="0" xfId="6" applyFont="1" applyAlignment="1" applyProtection="1"/>
    <xf numFmtId="0" fontId="35" fillId="0" borderId="0" xfId="6" applyFont="1" applyAlignment="1" applyProtection="1"/>
    <xf numFmtId="0" fontId="35" fillId="0" borderId="0" xfId="6" applyFont="1" applyAlignment="1" applyProtection="1">
      <alignment horizontal="left" vertical="center" wrapText="1"/>
    </xf>
    <xf numFmtId="0" fontId="4" fillId="0" borderId="0" xfId="6" applyFont="1" applyAlignment="1" applyProtection="1">
      <alignment horizontal="left" vertical="center" wrapText="1"/>
    </xf>
    <xf numFmtId="0" fontId="39" fillId="0" borderId="0" xfId="7" applyAlignment="1" applyProtection="1"/>
    <xf numFmtId="0" fontId="40" fillId="0" borderId="0" xfId="8" applyFont="1" applyAlignment="1" applyProtection="1"/>
    <xf numFmtId="0" fontId="6" fillId="0" borderId="25" xfId="0" applyFont="1" applyBorder="1" applyAlignment="1" applyProtection="1">
      <alignment horizontal="left" indent="1"/>
    </xf>
    <xf numFmtId="0" fontId="0" fillId="0" borderId="25" xfId="0" applyBorder="1" applyAlignment="1">
      <alignment horizontal="left" indent="1"/>
    </xf>
    <xf numFmtId="0" fontId="0" fillId="0" borderId="26" xfId="0" applyBorder="1" applyAlignment="1">
      <alignment horizontal="left" indent="1"/>
    </xf>
    <xf numFmtId="0" fontId="5" fillId="2" borderId="12" xfId="0" applyFont="1" applyFill="1" applyBorder="1" applyAlignment="1" applyProtection="1">
      <alignment horizontal="left"/>
    </xf>
    <xf numFmtId="0" fontId="0" fillId="0" borderId="12" xfId="0" applyBorder="1" applyAlignment="1"/>
    <xf numFmtId="0" fontId="0" fillId="0" borderId="19" xfId="0" applyBorder="1" applyAlignment="1"/>
    <xf numFmtId="0" fontId="5" fillId="2" borderId="33" xfId="0" applyFont="1" applyFill="1" applyBorder="1" applyAlignment="1" applyProtection="1">
      <alignment horizontal="left"/>
    </xf>
    <xf numFmtId="0" fontId="0" fillId="0" borderId="33" xfId="0" applyBorder="1" applyAlignment="1"/>
    <xf numFmtId="0" fontId="0" fillId="0" borderId="13" xfId="0" applyBorder="1" applyAlignment="1"/>
    <xf numFmtId="0" fontId="5" fillId="2" borderId="34" xfId="0" applyFont="1" applyFill="1" applyBorder="1" applyAlignment="1" applyProtection="1">
      <alignment horizontal="left"/>
    </xf>
    <xf numFmtId="0" fontId="0" fillId="0" borderId="34" xfId="0" applyBorder="1" applyAlignment="1"/>
    <xf numFmtId="0" fontId="0" fillId="0" borderId="32" xfId="0" applyBorder="1" applyAlignment="1"/>
    <xf numFmtId="0" fontId="5" fillId="0" borderId="12" xfId="0" applyFont="1" applyBorder="1" applyAlignment="1" applyProtection="1">
      <alignment horizontal="left"/>
    </xf>
    <xf numFmtId="0" fontId="6" fillId="0" borderId="30" xfId="0" applyFont="1" applyBorder="1" applyAlignment="1" applyProtection="1">
      <alignment horizontal="left"/>
    </xf>
    <xf numFmtId="0" fontId="0" fillId="0" borderId="30" xfId="0" applyBorder="1" applyAlignment="1"/>
    <xf numFmtId="0" fontId="0" fillId="0" borderId="31" xfId="0" applyBorder="1" applyAlignment="1"/>
    <xf numFmtId="0" fontId="6" fillId="3" borderId="2" xfId="0" applyFont="1" applyFill="1" applyBorder="1" applyAlignment="1" applyProtection="1">
      <alignment horizontal="center"/>
    </xf>
    <xf numFmtId="0" fontId="6" fillId="4" borderId="2" xfId="0" applyFont="1" applyFill="1" applyBorder="1" applyAlignment="1" applyProtection="1">
      <alignment horizontal="center"/>
    </xf>
    <xf numFmtId="0" fontId="35" fillId="0" borderId="0" xfId="4" applyFont="1" applyAlignment="1" applyProtection="1">
      <alignment horizontal="left" vertical="center" wrapText="1"/>
    </xf>
    <xf numFmtId="0" fontId="35" fillId="0" borderId="0" xfId="4" applyFont="1" applyProtection="1"/>
    <xf numFmtId="0" fontId="35" fillId="0" borderId="0" xfId="4" applyFont="1" applyAlignment="1" applyProtection="1">
      <alignment horizontal="left" vertical="center" wrapText="1"/>
    </xf>
  </cellXfs>
  <cellStyles count="9">
    <cellStyle name="Currency" xfId="1" builtinId="4"/>
    <cellStyle name="Hyperlink" xfId="2" builtinId="8"/>
    <cellStyle name="Hyperlink 2" xfId="5"/>
    <cellStyle name="Hyperlink 3" xfId="8"/>
    <cellStyle name="Hyperlink_K-State Vegetative Buffer" xfId="7"/>
    <cellStyle name="Normal" xfId="0" builtinId="0"/>
    <cellStyle name="Normal 2" xfId="4"/>
    <cellStyle name="Normal 3" xfId="6"/>
    <cellStyle name="Percent" xfId="3" builtinId="5"/>
  </cellStyles>
  <dxfs count="0"/>
  <tableStyles count="0" defaultTableStyle="TableStyleMedium2" defaultPivotStyle="PivotStyleLight16"/>
  <colors>
    <mruColors>
      <color rgb="FF008000"/>
      <color rgb="FF0000FF"/>
      <color rgb="FFFFFF99"/>
      <color rgb="FF66FF66"/>
      <color rgb="FFFF7C80"/>
      <color rgb="FF00CC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geconomics.k-state.edu/" TargetMode="External"/><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image" Target="../media/image3.jpe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140315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9</xdr:col>
      <xdr:colOff>414130</xdr:colOff>
      <xdr:row>22</xdr:row>
      <xdr:rowOff>103532</xdr:rowOff>
    </xdr:from>
    <xdr:to>
      <xdr:col>11</xdr:col>
      <xdr:colOff>1532282</xdr:colOff>
      <xdr:row>25</xdr:row>
      <xdr:rowOff>124238</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9530" y="3761132"/>
          <a:ext cx="2337352" cy="506481"/>
        </a:xfrm>
        <a:prstGeom prst="rect">
          <a:avLst/>
        </a:prstGeom>
      </xdr:spPr>
    </xdr:pic>
    <xdr:clientData/>
  </xdr:twoCellAnchor>
  <xdr:twoCellAnchor editAs="oneCell">
    <xdr:from>
      <xdr:col>0</xdr:col>
      <xdr:colOff>176007</xdr:colOff>
      <xdr:row>58</xdr:row>
      <xdr:rowOff>115534</xdr:rowOff>
    </xdr:from>
    <xdr:to>
      <xdr:col>5</xdr:col>
      <xdr:colOff>352012</xdr:colOff>
      <xdr:row>62</xdr:row>
      <xdr:rowOff>82825</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007" y="9888184"/>
          <a:ext cx="2843005" cy="614992"/>
        </a:xfrm>
        <a:prstGeom prst="rect">
          <a:avLst/>
        </a:prstGeom>
      </xdr:spPr>
    </xdr:pic>
    <xdr:clientData/>
  </xdr:twoCellAnchor>
  <xdr:twoCellAnchor editAs="oneCell">
    <xdr:from>
      <xdr:col>1</xdr:col>
      <xdr:colOff>0</xdr:colOff>
      <xdr:row>8</xdr:row>
      <xdr:rowOff>20705</xdr:rowOff>
    </xdr:from>
    <xdr:to>
      <xdr:col>12</xdr:col>
      <xdr:colOff>2468</xdr:colOff>
      <xdr:row>26</xdr:row>
      <xdr:rowOff>0</xdr:rowOff>
    </xdr:to>
    <xdr:pic>
      <xdr:nvPicPr>
        <xdr:cNvPr id="5" name="Picture 4"/>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23376" b="19299"/>
        <a:stretch/>
      </xdr:blipFill>
      <xdr:spPr>
        <a:xfrm>
          <a:off x="238125" y="1449455"/>
          <a:ext cx="7641518" cy="2855845"/>
        </a:xfrm>
        <a:prstGeom prst="rect">
          <a:avLst/>
        </a:prstGeom>
        <a:ln>
          <a:solidFill>
            <a:sysClr val="windowText" lastClr="000000"/>
          </a:solidFill>
        </a:ln>
      </xdr:spPr>
    </xdr:pic>
    <xdr:clientData/>
  </xdr:twoCellAnchor>
  <xdr:twoCellAnchor editAs="oneCell">
    <xdr:from>
      <xdr:col>9</xdr:col>
      <xdr:colOff>424483</xdr:colOff>
      <xdr:row>22</xdr:row>
      <xdr:rowOff>134592</xdr:rowOff>
    </xdr:from>
    <xdr:to>
      <xdr:col>11</xdr:col>
      <xdr:colOff>1542635</xdr:colOff>
      <xdr:row>25</xdr:row>
      <xdr:rowOff>155298</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9883" y="3792192"/>
          <a:ext cx="2337352" cy="5064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gmanager.info/Users/DPendell/AppData/Local/Microsoft/Windows/Temporary%20Internet%20Files/Content.Outlook/51J91GBI/Replacement%20heifers/KSU-BeefReplaceme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and weights"/>
      <sheetName val="Net present value"/>
    </sheetNames>
    <sheetDataSet>
      <sheetData sheetId="0">
        <row r="7">
          <cell r="B7">
            <v>2012</v>
          </cell>
          <cell r="C7">
            <v>147.36923326069913</v>
          </cell>
          <cell r="D7">
            <v>72.163180933711047</v>
          </cell>
          <cell r="E7">
            <v>147.36923326069913</v>
          </cell>
          <cell r="F7">
            <v>72.163180933711047</v>
          </cell>
          <cell r="G7">
            <v>154.7376949237341</v>
          </cell>
          <cell r="H7">
            <v>72.163180933711047</v>
          </cell>
          <cell r="J7">
            <v>1</v>
          </cell>
          <cell r="K7">
            <v>542</v>
          </cell>
          <cell r="L7">
            <v>562</v>
          </cell>
          <cell r="M7">
            <v>537</v>
          </cell>
        </row>
        <row r="8">
          <cell r="B8">
            <v>2013</v>
          </cell>
          <cell r="C8">
            <v>156.9549822013669</v>
          </cell>
          <cell r="D8">
            <v>72.992642783523806</v>
          </cell>
          <cell r="E8">
            <v>147.36923326069913</v>
          </cell>
          <cell r="F8">
            <v>72.163180933711047</v>
          </cell>
          <cell r="G8">
            <v>164.80273131143525</v>
          </cell>
          <cell r="H8">
            <v>72.992642783523806</v>
          </cell>
          <cell r="J8">
            <v>2</v>
          </cell>
          <cell r="K8">
            <v>552</v>
          </cell>
          <cell r="L8">
            <v>562</v>
          </cell>
          <cell r="M8">
            <v>552</v>
          </cell>
        </row>
        <row r="9">
          <cell r="B9">
            <v>2014</v>
          </cell>
          <cell r="C9">
            <v>157.44129415438837</v>
          </cell>
          <cell r="D9">
            <v>73.038723997402286</v>
          </cell>
          <cell r="E9">
            <v>147.36923326069913</v>
          </cell>
          <cell r="F9">
            <v>72.163180933711047</v>
          </cell>
          <cell r="G9">
            <v>165.3133588621078</v>
          </cell>
          <cell r="H9">
            <v>73.038723997402286</v>
          </cell>
          <cell r="J9">
            <v>3</v>
          </cell>
          <cell r="K9">
            <v>562</v>
          </cell>
          <cell r="L9">
            <v>562</v>
          </cell>
          <cell r="M9">
            <v>567</v>
          </cell>
        </row>
        <row r="10">
          <cell r="B10">
            <v>2015</v>
          </cell>
          <cell r="C10">
            <v>154.28566992589344</v>
          </cell>
          <cell r="D10">
            <v>69.951282667543651</v>
          </cell>
          <cell r="E10">
            <v>147.36923326069913</v>
          </cell>
          <cell r="F10">
            <v>72.163180933711047</v>
          </cell>
          <cell r="G10">
            <v>161.99995342218813</v>
          </cell>
          <cell r="H10">
            <v>69.951282667543651</v>
          </cell>
          <cell r="J10">
            <v>4</v>
          </cell>
          <cell r="K10">
            <v>567</v>
          </cell>
          <cell r="L10">
            <v>562</v>
          </cell>
          <cell r="M10">
            <v>582</v>
          </cell>
        </row>
        <row r="11">
          <cell r="B11">
            <v>2016</v>
          </cell>
          <cell r="C11">
            <v>148.44992648963577</v>
          </cell>
          <cell r="D11">
            <v>66.679516482171053</v>
          </cell>
          <cell r="E11">
            <v>147.36923326069913</v>
          </cell>
          <cell r="F11">
            <v>72.163180933711047</v>
          </cell>
          <cell r="G11">
            <v>155.87242281411756</v>
          </cell>
          <cell r="H11">
            <v>66.679516482171053</v>
          </cell>
          <cell r="J11">
            <v>5</v>
          </cell>
          <cell r="K11">
            <v>572</v>
          </cell>
          <cell r="L11">
            <v>562</v>
          </cell>
          <cell r="M11">
            <v>582</v>
          </cell>
        </row>
        <row r="12">
          <cell r="B12">
            <v>2017</v>
          </cell>
          <cell r="C12">
            <v>148.0027138940163</v>
          </cell>
          <cell r="D12">
            <v>64.83862570471004</v>
          </cell>
          <cell r="E12">
            <v>147.36923326069913</v>
          </cell>
          <cell r="F12">
            <v>72.163180933711047</v>
          </cell>
          <cell r="G12">
            <v>155.40284958871712</v>
          </cell>
          <cell r="H12">
            <v>64.83862570471004</v>
          </cell>
          <cell r="J12">
            <v>6</v>
          </cell>
          <cell r="K12">
            <v>572</v>
          </cell>
          <cell r="L12">
            <v>562</v>
          </cell>
          <cell r="M12">
            <v>577</v>
          </cell>
        </row>
        <row r="13">
          <cell r="B13">
            <v>2018</v>
          </cell>
          <cell r="C13">
            <v>146.74308896530741</v>
          </cell>
          <cell r="D13">
            <v>63.904800082462643</v>
          </cell>
          <cell r="E13">
            <v>147.36923326069913</v>
          </cell>
          <cell r="F13">
            <v>72.163180933711047</v>
          </cell>
          <cell r="G13">
            <v>154.08024341357279</v>
          </cell>
          <cell r="H13">
            <v>63.904800082462643</v>
          </cell>
          <cell r="J13">
            <v>7</v>
          </cell>
          <cell r="K13">
            <v>567</v>
          </cell>
          <cell r="L13">
            <v>562</v>
          </cell>
          <cell r="M13">
            <v>567</v>
          </cell>
        </row>
        <row r="14">
          <cell r="B14">
            <v>2019</v>
          </cell>
          <cell r="C14">
            <v>146.02498503398741</v>
          </cell>
          <cell r="D14">
            <v>62.950222779720875</v>
          </cell>
          <cell r="E14">
            <v>147.36923326069913</v>
          </cell>
          <cell r="F14">
            <v>72.163180933711047</v>
          </cell>
          <cell r="G14">
            <v>153.32623428568678</v>
          </cell>
          <cell r="H14">
            <v>62.950222779720875</v>
          </cell>
          <cell r="J14">
            <v>8</v>
          </cell>
          <cell r="K14">
            <v>565</v>
          </cell>
          <cell r="L14">
            <v>562</v>
          </cell>
          <cell r="M14">
            <v>557</v>
          </cell>
        </row>
        <row r="15">
          <cell r="B15">
            <v>2020</v>
          </cell>
          <cell r="C15">
            <v>148.6972734341455</v>
          </cell>
          <cell r="D15">
            <v>63.458638951833343</v>
          </cell>
          <cell r="E15">
            <v>147.36923326069913</v>
          </cell>
          <cell r="F15">
            <v>72.163180933711047</v>
          </cell>
          <cell r="G15">
            <v>156.13213710585279</v>
          </cell>
          <cell r="H15">
            <v>63.458638951833343</v>
          </cell>
          <cell r="J15">
            <v>9</v>
          </cell>
          <cell r="K15">
            <v>562</v>
          </cell>
          <cell r="L15">
            <v>562</v>
          </cell>
          <cell r="M15">
            <v>552</v>
          </cell>
        </row>
        <row r="16">
          <cell r="B16">
            <v>2021</v>
          </cell>
          <cell r="C16">
            <v>151.70200863791797</v>
          </cell>
          <cell r="D16">
            <v>64.727811730870002</v>
          </cell>
          <cell r="E16">
            <v>147.36923326069913</v>
          </cell>
          <cell r="F16">
            <v>72.163180933711047</v>
          </cell>
          <cell r="G16">
            <v>159.28710906981388</v>
          </cell>
          <cell r="H16">
            <v>64.727811730870002</v>
          </cell>
          <cell r="J16">
            <v>10</v>
          </cell>
          <cell r="K16">
            <v>559</v>
          </cell>
          <cell r="L16">
            <v>562</v>
          </cell>
          <cell r="M16">
            <v>547</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ndyj@ksu.edu" TargetMode="External"/><Relationship Id="rId1" Type="http://schemas.openxmlformats.org/officeDocument/2006/relationships/hyperlink" Target="mailto:dpendell@k-state.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X58"/>
  <sheetViews>
    <sheetView showGridLines="0" tabSelected="1" zoomScale="92" zoomScaleNormal="100" workbookViewId="0">
      <selection activeCell="L62" sqref="L62"/>
    </sheetView>
  </sheetViews>
  <sheetFormatPr defaultRowHeight="12.75" x14ac:dyDescent="0.2"/>
  <cols>
    <col min="1" max="1" width="3.5703125" style="140" customWidth="1"/>
    <col min="2" max="4" width="9.140625" style="140"/>
    <col min="5" max="5" width="9" style="140" customWidth="1"/>
    <col min="6" max="11" width="9.140625" style="140"/>
    <col min="12" max="12" width="23.28515625" style="140" customWidth="1"/>
    <col min="13" max="13" width="3.7109375" style="140" customWidth="1"/>
    <col min="14" max="16384" width="9.140625" style="140"/>
  </cols>
  <sheetData>
    <row r="1" spans="2:24" ht="10.5" customHeight="1" thickBot="1" x14ac:dyDescent="0.25"/>
    <row r="2" spans="2:24" ht="7.5" customHeight="1" x14ac:dyDescent="0.25">
      <c r="B2" s="141"/>
      <c r="C2" s="142"/>
      <c r="D2" s="142"/>
      <c r="E2" s="142"/>
      <c r="F2" s="142"/>
      <c r="G2" s="142"/>
      <c r="H2" s="142"/>
      <c r="I2" s="142"/>
      <c r="J2" s="142"/>
      <c r="K2" s="142"/>
      <c r="L2" s="143"/>
    </row>
    <row r="3" spans="2:24" ht="26.25" x14ac:dyDescent="0.4">
      <c r="B3" s="144" t="s">
        <v>103</v>
      </c>
      <c r="C3" s="145"/>
      <c r="D3" s="145"/>
      <c r="E3" s="145"/>
      <c r="F3" s="145"/>
      <c r="G3" s="145"/>
      <c r="H3" s="146"/>
      <c r="I3" s="146"/>
      <c r="J3" s="147"/>
      <c r="K3" s="147"/>
      <c r="L3" s="148"/>
    </row>
    <row r="4" spans="2:24" ht="18" customHeight="1" x14ac:dyDescent="0.3">
      <c r="B4" s="149"/>
      <c r="C4" s="150"/>
      <c r="D4" s="151"/>
      <c r="E4" s="151"/>
      <c r="F4" s="152"/>
      <c r="G4" s="152"/>
      <c r="H4" s="146"/>
      <c r="I4" s="146"/>
      <c r="J4" s="147"/>
      <c r="K4" s="147"/>
      <c r="L4" s="148"/>
    </row>
    <row r="5" spans="2:24" ht="15.75" customHeight="1" x14ac:dyDescent="0.25">
      <c r="B5" s="179" t="s">
        <v>104</v>
      </c>
      <c r="C5" s="180"/>
      <c r="D5" s="180"/>
      <c r="E5" s="180"/>
      <c r="F5" s="180"/>
      <c r="G5" s="180"/>
      <c r="H5" s="180"/>
      <c r="I5" s="180"/>
      <c r="J5" s="147"/>
      <c r="K5" s="147"/>
      <c r="L5" s="148"/>
      <c r="N5" s="182"/>
      <c r="O5" s="183"/>
      <c r="P5" s="183"/>
      <c r="Q5" s="183"/>
      <c r="R5" s="183"/>
      <c r="S5" s="183"/>
      <c r="T5" s="183"/>
      <c r="U5" s="183"/>
      <c r="V5" s="183"/>
      <c r="W5" s="183"/>
      <c r="X5" s="183"/>
    </row>
    <row r="6" spans="2:24" ht="15.75" x14ac:dyDescent="0.25">
      <c r="B6" s="181"/>
      <c r="C6" s="180"/>
      <c r="D6" s="180"/>
      <c r="E6" s="180"/>
      <c r="F6" s="180"/>
      <c r="G6" s="180"/>
      <c r="H6" s="180"/>
      <c r="I6" s="180"/>
      <c r="J6" s="147"/>
      <c r="K6" s="147"/>
      <c r="L6" s="148"/>
      <c r="N6" s="183"/>
      <c r="O6" s="183"/>
      <c r="P6" s="183"/>
      <c r="Q6" s="183"/>
      <c r="R6" s="183"/>
      <c r="S6" s="183"/>
      <c r="T6" s="183"/>
      <c r="U6" s="183"/>
      <c r="V6" s="183"/>
      <c r="W6" s="183"/>
      <c r="X6" s="183"/>
    </row>
    <row r="7" spans="2:24" ht="5.25" customHeight="1" x14ac:dyDescent="0.25">
      <c r="B7" s="153"/>
      <c r="C7" s="154"/>
      <c r="D7" s="154"/>
      <c r="E7" s="154"/>
      <c r="F7" s="154"/>
      <c r="G7" s="154"/>
      <c r="H7" s="154"/>
      <c r="I7" s="147"/>
      <c r="J7" s="147"/>
      <c r="K7" s="155"/>
      <c r="L7" s="156"/>
    </row>
    <row r="8" spans="2:24" ht="13.5" customHeight="1" thickBot="1" x14ac:dyDescent="0.3">
      <c r="B8" s="157"/>
      <c r="C8" s="184"/>
      <c r="D8" s="185"/>
      <c r="E8" s="186"/>
      <c r="F8" s="187"/>
      <c r="G8" s="158"/>
      <c r="H8" s="158"/>
      <c r="I8" s="158"/>
      <c r="J8" s="158"/>
      <c r="K8" s="159"/>
      <c r="L8" s="160" t="s">
        <v>105</v>
      </c>
      <c r="N8" s="188"/>
    </row>
    <row r="9" spans="2:24" ht="9.75" customHeight="1" x14ac:dyDescent="0.25">
      <c r="B9" s="161"/>
      <c r="C9" s="161"/>
      <c r="D9" s="161"/>
      <c r="E9" s="161"/>
      <c r="F9" s="161"/>
      <c r="G9" s="162"/>
      <c r="H9" s="161"/>
      <c r="I9" s="161"/>
      <c r="J9" s="161"/>
      <c r="K9" s="161"/>
      <c r="L9" s="161"/>
      <c r="N9" s="188"/>
    </row>
    <row r="28" spans="2:12" ht="15.75" x14ac:dyDescent="0.25">
      <c r="B28" s="163" t="s">
        <v>106</v>
      </c>
      <c r="C28" s="164"/>
      <c r="D28" s="164"/>
      <c r="E28" s="164"/>
      <c r="F28" s="165"/>
      <c r="G28" s="165"/>
      <c r="H28" s="165"/>
      <c r="I28" s="165"/>
      <c r="J28" s="165"/>
      <c r="K28" s="165"/>
      <c r="L28" s="165"/>
    </row>
    <row r="29" spans="2:12" x14ac:dyDescent="0.2">
      <c r="B29" s="178" t="s">
        <v>107</v>
      </c>
      <c r="C29" s="178"/>
      <c r="D29" s="178"/>
      <c r="E29" s="178"/>
      <c r="F29" s="178"/>
      <c r="G29" s="178"/>
      <c r="H29" s="178"/>
      <c r="I29" s="178"/>
      <c r="J29" s="178"/>
      <c r="K29" s="178"/>
      <c r="L29" s="178"/>
    </row>
    <row r="30" spans="2:12" ht="35.25" customHeight="1" x14ac:dyDescent="0.2">
      <c r="B30" s="178"/>
      <c r="C30" s="178"/>
      <c r="D30" s="178"/>
      <c r="E30" s="178"/>
      <c r="F30" s="178"/>
      <c r="G30" s="178"/>
      <c r="H30" s="178"/>
      <c r="I30" s="178"/>
      <c r="J30" s="178"/>
      <c r="K30" s="178"/>
      <c r="L30" s="178"/>
    </row>
    <row r="31" spans="2:12" ht="19.5" customHeight="1" x14ac:dyDescent="0.25">
      <c r="B31" s="190" t="s">
        <v>108</v>
      </c>
      <c r="C31" s="191"/>
      <c r="D31" s="191"/>
      <c r="E31" s="191"/>
      <c r="F31" s="166"/>
      <c r="G31" s="167"/>
      <c r="H31" s="166"/>
      <c r="I31" s="166"/>
      <c r="J31" s="166"/>
      <c r="K31" s="166"/>
      <c r="L31" s="166"/>
    </row>
    <row r="32" spans="2:12" ht="15.75" x14ac:dyDescent="0.25">
      <c r="B32" s="164" t="s">
        <v>109</v>
      </c>
      <c r="C32" s="164"/>
      <c r="D32" s="164"/>
      <c r="E32" s="164"/>
      <c r="F32" s="165"/>
      <c r="G32" s="168"/>
      <c r="H32" s="165"/>
      <c r="I32" s="165"/>
      <c r="J32" s="165"/>
      <c r="K32" s="165"/>
      <c r="L32" s="165"/>
    </row>
    <row r="33" spans="2:17" ht="27" customHeight="1" x14ac:dyDescent="0.2">
      <c r="B33" s="192" t="s">
        <v>120</v>
      </c>
      <c r="C33" s="193"/>
      <c r="D33" s="193"/>
      <c r="E33" s="193"/>
      <c r="F33" s="193"/>
      <c r="G33" s="193"/>
      <c r="H33" s="193"/>
      <c r="I33" s="193"/>
      <c r="J33" s="193"/>
      <c r="K33" s="193"/>
      <c r="L33" s="193"/>
    </row>
    <row r="34" spans="2:17" ht="7.5" customHeight="1" x14ac:dyDescent="0.2">
      <c r="B34" s="193"/>
      <c r="C34" s="193"/>
      <c r="D34" s="193"/>
      <c r="E34" s="193"/>
      <c r="F34" s="193"/>
      <c r="G34" s="193"/>
      <c r="H34" s="193"/>
      <c r="I34" s="193"/>
      <c r="J34" s="193"/>
      <c r="K34" s="193"/>
      <c r="L34" s="193"/>
    </row>
    <row r="35" spans="2:17" ht="12.75" customHeight="1" x14ac:dyDescent="0.2">
      <c r="B35" s="193"/>
      <c r="C35" s="193"/>
      <c r="D35" s="193"/>
      <c r="E35" s="193"/>
      <c r="F35" s="193"/>
      <c r="G35" s="193"/>
      <c r="H35" s="193"/>
      <c r="I35" s="193"/>
      <c r="J35" s="193"/>
      <c r="K35" s="193"/>
      <c r="L35" s="193"/>
    </row>
    <row r="36" spans="2:17" ht="12.75" customHeight="1" x14ac:dyDescent="0.2">
      <c r="B36" s="193"/>
      <c r="C36" s="193"/>
      <c r="D36" s="193"/>
      <c r="E36" s="193"/>
      <c r="F36" s="193"/>
      <c r="G36" s="193"/>
      <c r="H36" s="193"/>
      <c r="I36" s="193"/>
      <c r="J36" s="193"/>
      <c r="K36" s="193"/>
      <c r="L36" s="193"/>
    </row>
    <row r="37" spans="2:17" x14ac:dyDescent="0.2">
      <c r="B37" s="193"/>
      <c r="C37" s="193"/>
      <c r="D37" s="193"/>
      <c r="E37" s="193"/>
      <c r="F37" s="193"/>
      <c r="G37" s="193"/>
      <c r="H37" s="193"/>
      <c r="I37" s="193"/>
      <c r="J37" s="193"/>
      <c r="K37" s="193"/>
      <c r="L37" s="193"/>
    </row>
    <row r="38" spans="2:17" ht="15.75" hidden="1" x14ac:dyDescent="0.25">
      <c r="B38" s="169"/>
      <c r="C38" s="169"/>
      <c r="D38" s="169"/>
      <c r="E38" s="169"/>
      <c r="F38" s="169"/>
      <c r="G38" s="169"/>
      <c r="H38" s="169"/>
      <c r="I38" s="169"/>
      <c r="J38" s="169"/>
      <c r="K38" s="169"/>
      <c r="L38" s="169"/>
    </row>
    <row r="39" spans="2:17" ht="15.75" x14ac:dyDescent="0.25">
      <c r="B39" s="169"/>
      <c r="C39" s="169"/>
      <c r="D39" s="169"/>
      <c r="E39" s="169"/>
      <c r="F39" s="169"/>
      <c r="G39" s="169"/>
      <c r="H39" s="169"/>
      <c r="I39" s="169"/>
      <c r="J39" s="169"/>
      <c r="K39" s="169"/>
      <c r="L39" s="169"/>
    </row>
    <row r="40" spans="2:17" ht="15.75" x14ac:dyDescent="0.25">
      <c r="B40" s="170" t="s">
        <v>110</v>
      </c>
      <c r="C40" s="165"/>
      <c r="D40" s="166"/>
      <c r="E40" s="166"/>
      <c r="F40" s="166"/>
      <c r="G40" s="166"/>
      <c r="H40" s="166"/>
      <c r="I40" s="166"/>
      <c r="J40" s="166"/>
      <c r="K40" s="166"/>
      <c r="L40" s="166"/>
    </row>
    <row r="41" spans="2:17" ht="18" customHeight="1" x14ac:dyDescent="0.2">
      <c r="B41" s="192" t="s">
        <v>111</v>
      </c>
      <c r="C41" s="192"/>
      <c r="D41" s="192"/>
      <c r="E41" s="192"/>
      <c r="F41" s="192"/>
      <c r="G41" s="192"/>
      <c r="H41" s="192"/>
      <c r="I41" s="192"/>
      <c r="J41" s="192"/>
      <c r="K41" s="192"/>
      <c r="L41" s="192"/>
    </row>
    <row r="42" spans="2:17" ht="6" customHeight="1" x14ac:dyDescent="0.2">
      <c r="B42" s="192"/>
      <c r="C42" s="192"/>
      <c r="D42" s="192"/>
      <c r="E42" s="192"/>
      <c r="F42" s="192"/>
      <c r="G42" s="192"/>
      <c r="H42" s="192"/>
      <c r="I42" s="192"/>
      <c r="J42" s="192"/>
      <c r="K42" s="192"/>
      <c r="L42" s="192"/>
    </row>
    <row r="43" spans="2:17" ht="15.75" x14ac:dyDescent="0.25">
      <c r="B43" s="165" t="s">
        <v>93</v>
      </c>
      <c r="C43" s="165"/>
      <c r="D43" s="165"/>
      <c r="E43" s="171"/>
      <c r="F43" s="165"/>
      <c r="G43" s="165"/>
      <c r="H43" s="165" t="s">
        <v>95</v>
      </c>
      <c r="I43" s="165"/>
      <c r="J43" s="165"/>
      <c r="K43" s="165"/>
      <c r="L43" s="165"/>
      <c r="P43" s="172"/>
      <c r="Q43" s="172"/>
    </row>
    <row r="44" spans="2:17" ht="15.75" x14ac:dyDescent="0.25">
      <c r="B44" s="165" t="s">
        <v>94</v>
      </c>
      <c r="C44" s="165"/>
      <c r="D44" s="165"/>
      <c r="E44" s="171"/>
      <c r="F44" s="165"/>
      <c r="G44" s="165"/>
      <c r="H44" s="165" t="s">
        <v>96</v>
      </c>
      <c r="I44" s="165"/>
      <c r="J44" s="165"/>
      <c r="K44" s="165"/>
      <c r="L44" s="165"/>
      <c r="P44" s="172"/>
      <c r="Q44" s="172"/>
    </row>
    <row r="45" spans="2:17" ht="15.75" x14ac:dyDescent="0.25">
      <c r="B45" s="165" t="s">
        <v>112</v>
      </c>
      <c r="C45" s="165"/>
      <c r="D45" s="165"/>
      <c r="E45" s="165"/>
      <c r="F45" s="165"/>
      <c r="G45" s="165"/>
      <c r="H45" s="165" t="s">
        <v>113</v>
      </c>
      <c r="I45" s="165"/>
      <c r="J45" s="165"/>
      <c r="K45" s="165"/>
      <c r="L45" s="165"/>
      <c r="P45" s="172"/>
      <c r="Q45" s="172"/>
    </row>
    <row r="46" spans="2:17" ht="15.75" x14ac:dyDescent="0.25">
      <c r="B46" s="165" t="s">
        <v>92</v>
      </c>
      <c r="C46" s="165"/>
      <c r="D46" s="165"/>
      <c r="E46" s="165"/>
      <c r="F46" s="165"/>
      <c r="G46" s="165"/>
      <c r="H46" s="165" t="s">
        <v>92</v>
      </c>
      <c r="I46" s="165"/>
      <c r="J46" s="165"/>
      <c r="K46" s="165"/>
      <c r="L46" s="165"/>
      <c r="P46" s="194"/>
      <c r="Q46" s="194"/>
    </row>
    <row r="47" spans="2:17" ht="15.75" x14ac:dyDescent="0.25">
      <c r="B47" s="195" t="s">
        <v>114</v>
      </c>
      <c r="C47" s="191"/>
      <c r="D47" s="191"/>
      <c r="E47" s="165"/>
      <c r="F47" s="165"/>
      <c r="G47" s="173"/>
      <c r="H47" s="174" t="s">
        <v>115</v>
      </c>
      <c r="I47" s="164"/>
      <c r="J47" s="165"/>
      <c r="K47" s="165"/>
      <c r="L47" s="165"/>
    </row>
    <row r="48" spans="2:17" ht="15.75" x14ac:dyDescent="0.25">
      <c r="B48" s="175" t="s">
        <v>116</v>
      </c>
      <c r="C48" s="176"/>
      <c r="D48" s="164"/>
      <c r="E48" s="165"/>
      <c r="F48" s="165"/>
      <c r="G48" s="173"/>
      <c r="H48" s="164" t="s">
        <v>117</v>
      </c>
      <c r="I48" s="164"/>
      <c r="J48" s="165"/>
      <c r="K48" s="165"/>
      <c r="L48" s="165"/>
    </row>
    <row r="49" spans="2:12" ht="15.75" x14ac:dyDescent="0.25">
      <c r="B49" s="165"/>
      <c r="C49" s="166"/>
      <c r="D49" s="165"/>
      <c r="E49" s="165"/>
      <c r="F49" s="165"/>
      <c r="G49" s="165"/>
      <c r="H49" s="165"/>
      <c r="I49" s="165"/>
      <c r="J49" s="165"/>
      <c r="K49" s="165"/>
      <c r="L49" s="165"/>
    </row>
    <row r="50" spans="2:12" ht="15.75" x14ac:dyDescent="0.25">
      <c r="B50" s="170" t="s">
        <v>118</v>
      </c>
      <c r="C50" s="166"/>
      <c r="D50" s="165"/>
      <c r="E50" s="165"/>
      <c r="F50" s="165"/>
      <c r="G50" s="165"/>
      <c r="H50" s="165"/>
      <c r="I50" s="165"/>
      <c r="J50" s="165"/>
      <c r="K50" s="165"/>
      <c r="L50" s="165"/>
    </row>
    <row r="51" spans="2:12" ht="15.75" x14ac:dyDescent="0.25">
      <c r="B51" s="214" t="s">
        <v>121</v>
      </c>
      <c r="C51" s="214"/>
      <c r="D51" s="214"/>
      <c r="E51" s="214"/>
      <c r="F51" s="214"/>
      <c r="G51" s="165"/>
      <c r="H51" s="165"/>
      <c r="I51" s="165"/>
      <c r="J51" s="165"/>
      <c r="K51" s="165"/>
      <c r="L51" s="165"/>
    </row>
    <row r="52" spans="2:12" ht="8.25" customHeight="1" x14ac:dyDescent="0.25">
      <c r="B52" s="216"/>
      <c r="C52" s="216"/>
      <c r="D52" s="216"/>
      <c r="E52" s="216"/>
      <c r="F52" s="216"/>
      <c r="G52" s="165"/>
      <c r="H52" s="165"/>
      <c r="I52" s="165"/>
      <c r="J52" s="165"/>
      <c r="K52" s="165"/>
      <c r="L52" s="165"/>
    </row>
    <row r="53" spans="2:12" ht="15.75" x14ac:dyDescent="0.25">
      <c r="B53" s="215" t="s">
        <v>122</v>
      </c>
      <c r="C53" s="215"/>
      <c r="D53" s="215"/>
      <c r="E53" s="215"/>
      <c r="F53" s="215"/>
      <c r="G53" s="165"/>
      <c r="H53" s="165" t="s">
        <v>124</v>
      </c>
      <c r="I53" s="165"/>
      <c r="J53" s="165"/>
      <c r="K53" s="165"/>
      <c r="L53" s="165"/>
    </row>
    <row r="54" spans="2:12" ht="15.75" x14ac:dyDescent="0.25">
      <c r="B54" s="215" t="s">
        <v>123</v>
      </c>
      <c r="C54" s="215"/>
      <c r="D54" s="215"/>
      <c r="E54" s="215"/>
      <c r="F54" s="215"/>
      <c r="G54" s="165"/>
      <c r="H54" s="165" t="s">
        <v>125</v>
      </c>
      <c r="I54" s="165"/>
      <c r="J54" s="165"/>
      <c r="K54" s="165"/>
      <c r="L54" s="165"/>
    </row>
    <row r="55" spans="2:12" ht="14.25" customHeight="1" x14ac:dyDescent="0.25">
      <c r="B55" s="215" t="s">
        <v>112</v>
      </c>
      <c r="C55" s="215"/>
      <c r="D55" s="215"/>
      <c r="E55" s="215"/>
      <c r="F55" s="215"/>
      <c r="G55" s="169"/>
      <c r="H55" s="177" t="s">
        <v>126</v>
      </c>
      <c r="I55" s="169"/>
      <c r="J55" s="169"/>
      <c r="K55" s="169"/>
      <c r="L55" s="169"/>
    </row>
    <row r="56" spans="2:12" ht="14.25" customHeight="1" x14ac:dyDescent="0.25">
      <c r="B56" s="215" t="s">
        <v>92</v>
      </c>
      <c r="C56" s="215"/>
      <c r="D56" s="215"/>
      <c r="E56" s="215"/>
      <c r="F56" s="215"/>
      <c r="G56" s="169"/>
      <c r="H56" s="169"/>
      <c r="I56" s="169"/>
      <c r="J56" s="169"/>
      <c r="K56" s="169"/>
      <c r="L56" s="169"/>
    </row>
    <row r="57" spans="2:12" x14ac:dyDescent="0.2">
      <c r="B57" s="189" t="s">
        <v>119</v>
      </c>
      <c r="C57" s="189"/>
      <c r="D57" s="189"/>
      <c r="E57" s="189"/>
      <c r="F57" s="189"/>
      <c r="G57" s="189"/>
      <c r="H57" s="189"/>
      <c r="I57" s="189"/>
      <c r="J57" s="189"/>
      <c r="K57" s="189"/>
      <c r="L57" s="189"/>
    </row>
    <row r="58" spans="2:12" ht="16.5" customHeight="1" x14ac:dyDescent="0.2">
      <c r="B58" s="189"/>
      <c r="C58" s="189"/>
      <c r="D58" s="189"/>
      <c r="E58" s="189"/>
      <c r="F58" s="189"/>
      <c r="G58" s="189"/>
      <c r="H58" s="189"/>
      <c r="I58" s="189"/>
      <c r="J58" s="189"/>
      <c r="K58" s="189"/>
      <c r="L58" s="189"/>
    </row>
  </sheetData>
  <sheetProtection algorithmName="SHA-512" hashValue="BMhRDgS4kpO6IdDk3TJNWVr3M4iTwfMs5IzuX2udyuBmsEvdRyo8k9Sqa/hZ8HnEj0kVcS6DbGNtru3WlwNQ7g==" saltValue="yTaBSpRTi7vOsGtuUv1FIw==" spinCount="100000" sheet="1" objects="1" scenarios="1"/>
  <mergeCells count="13">
    <mergeCell ref="B57:L58"/>
    <mergeCell ref="B31:E31"/>
    <mergeCell ref="B33:L37"/>
    <mergeCell ref="B41:L42"/>
    <mergeCell ref="P46:Q46"/>
    <mergeCell ref="B47:D47"/>
    <mergeCell ref="B51:F51"/>
    <mergeCell ref="B29:L30"/>
    <mergeCell ref="B5:I6"/>
    <mergeCell ref="N5:X6"/>
    <mergeCell ref="C8:D8"/>
    <mergeCell ref="E8:F8"/>
    <mergeCell ref="N8:N9"/>
  </mergeCells>
  <hyperlinks>
    <hyperlink ref="B47" r:id="rId1"/>
    <hyperlink ref="H47" r:id="rId2"/>
  </hyperlinks>
  <printOptions horizontalCentered="1"/>
  <pageMargins left="0.75" right="0.75" top="1" bottom="1" header="0.5" footer="0.5"/>
  <pageSetup scale="74" orientation="portrait" r:id="rId3"/>
  <headerFooter alignWithMargins="0">
    <oddHeader>&amp;R&amp;D</oddHeader>
    <oddFooter>&amp;A</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130"/>
  <sheetViews>
    <sheetView workbookViewId="0">
      <selection activeCell="F8" sqref="F8 F11:F14"/>
    </sheetView>
  </sheetViews>
  <sheetFormatPr defaultColWidth="9.140625" defaultRowHeight="15" x14ac:dyDescent="0.25"/>
  <cols>
    <col min="1" max="1" width="6.7109375" style="33" customWidth="1"/>
    <col min="2" max="3" width="12.7109375" style="33" customWidth="1"/>
    <col min="4" max="4" width="17.140625" style="33" customWidth="1"/>
    <col min="5" max="6" width="12.7109375" style="33" customWidth="1"/>
    <col min="7" max="7" width="9.140625" style="33" customWidth="1"/>
    <col min="8" max="8" width="12.7109375" style="33" customWidth="1"/>
    <col min="9" max="9" width="9.140625" style="33"/>
    <col min="10" max="13" width="9.140625" style="33" customWidth="1"/>
    <col min="14" max="16384" width="9.140625" style="33"/>
  </cols>
  <sheetData>
    <row r="1" spans="1:12" x14ac:dyDescent="0.25">
      <c r="A1" s="52"/>
      <c r="B1" s="52"/>
      <c r="C1" s="52"/>
      <c r="D1" s="52"/>
      <c r="E1" s="52"/>
      <c r="F1" s="52"/>
      <c r="G1" s="52"/>
      <c r="H1" s="52"/>
      <c r="I1" s="52"/>
      <c r="L1" s="35"/>
    </row>
    <row r="2" spans="1:12" ht="16.5" thickBot="1" x14ac:dyDescent="0.3">
      <c r="A2" s="52"/>
      <c r="B2" s="53" t="s">
        <v>4</v>
      </c>
      <c r="C2" s="53"/>
      <c r="D2" s="53"/>
      <c r="E2" s="53"/>
      <c r="F2" s="54"/>
      <c r="G2" s="54"/>
      <c r="H2" s="54"/>
      <c r="I2" s="52"/>
    </row>
    <row r="3" spans="1:12" ht="9.9499999999999993" customHeight="1" thickTop="1" x14ac:dyDescent="0.25">
      <c r="A3" s="52"/>
      <c r="B3" s="55"/>
      <c r="C3" s="55"/>
      <c r="D3" s="55"/>
      <c r="E3" s="55"/>
      <c r="F3" s="55"/>
      <c r="G3" s="52"/>
      <c r="H3" s="52"/>
      <c r="I3" s="52"/>
    </row>
    <row r="4" spans="1:12" x14ac:dyDescent="0.25">
      <c r="A4" s="52"/>
      <c r="B4" s="56"/>
      <c r="C4" s="56"/>
      <c r="D4" s="56"/>
      <c r="E4" s="56"/>
      <c r="F4" s="57" t="s">
        <v>38</v>
      </c>
      <c r="G4" s="57"/>
      <c r="H4" s="57" t="s">
        <v>36</v>
      </c>
      <c r="I4" s="52"/>
    </row>
    <row r="5" spans="1:12" ht="15.75" thickBot="1" x14ac:dyDescent="0.3">
      <c r="A5" s="52"/>
      <c r="B5" s="58"/>
      <c r="C5" s="58"/>
      <c r="D5" s="58"/>
      <c r="E5" s="58"/>
      <c r="F5" s="59" t="s">
        <v>39</v>
      </c>
      <c r="G5" s="60"/>
      <c r="H5" s="59" t="s">
        <v>37</v>
      </c>
      <c r="I5" s="52"/>
    </row>
    <row r="6" spans="1:12" x14ac:dyDescent="0.25">
      <c r="A6" s="52"/>
      <c r="B6" s="212" t="s">
        <v>2</v>
      </c>
      <c r="C6" s="212"/>
      <c r="D6" s="212"/>
      <c r="E6" s="212"/>
      <c r="F6" s="212"/>
      <c r="G6" s="212"/>
      <c r="H6" s="212"/>
      <c r="I6" s="52"/>
    </row>
    <row r="7" spans="1:12" x14ac:dyDescent="0.25">
      <c r="A7" s="52"/>
      <c r="B7" s="61" t="s">
        <v>41</v>
      </c>
      <c r="C7" s="61"/>
      <c r="D7" s="61"/>
      <c r="E7" s="61"/>
      <c r="F7" s="57"/>
      <c r="G7" s="62"/>
      <c r="H7" s="57"/>
      <c r="I7" s="52"/>
    </row>
    <row r="8" spans="1:12" x14ac:dyDescent="0.25">
      <c r="A8" s="52"/>
      <c r="B8" s="199" t="s">
        <v>6</v>
      </c>
      <c r="C8" s="200"/>
      <c r="D8" s="201"/>
      <c r="E8" s="63"/>
      <c r="F8" s="38">
        <v>5200</v>
      </c>
      <c r="G8" s="64"/>
      <c r="H8" s="39">
        <v>5200</v>
      </c>
      <c r="I8" s="52"/>
    </row>
    <row r="9" spans="1:12" x14ac:dyDescent="0.25">
      <c r="A9" s="52"/>
      <c r="B9" s="199" t="s">
        <v>5</v>
      </c>
      <c r="C9" s="200"/>
      <c r="D9" s="201"/>
      <c r="E9" s="65"/>
      <c r="F9" s="40">
        <v>1800</v>
      </c>
      <c r="G9" s="66"/>
      <c r="H9" s="41">
        <v>1800</v>
      </c>
      <c r="I9" s="52"/>
    </row>
    <row r="10" spans="1:12" x14ac:dyDescent="0.25">
      <c r="A10" s="52"/>
      <c r="B10" s="199" t="s">
        <v>7</v>
      </c>
      <c r="C10" s="200"/>
      <c r="D10" s="201"/>
      <c r="E10" s="65"/>
      <c r="F10" s="42">
        <v>1.1000000000000001</v>
      </c>
      <c r="G10" s="66"/>
      <c r="H10" s="43">
        <f>F10</f>
        <v>1.1000000000000001</v>
      </c>
      <c r="I10" s="52"/>
    </row>
    <row r="11" spans="1:12" x14ac:dyDescent="0.25">
      <c r="A11" s="52"/>
      <c r="B11" s="199" t="s">
        <v>8</v>
      </c>
      <c r="C11" s="200"/>
      <c r="D11" s="201"/>
      <c r="E11" s="65"/>
      <c r="F11" s="67">
        <f>F10*F9</f>
        <v>1980.0000000000002</v>
      </c>
      <c r="G11" s="66"/>
      <c r="H11" s="68">
        <f>H10*H9</f>
        <v>1980.0000000000002</v>
      </c>
      <c r="I11" s="52"/>
    </row>
    <row r="12" spans="1:12" x14ac:dyDescent="0.25">
      <c r="A12" s="52"/>
      <c r="B12" s="199" t="s">
        <v>86</v>
      </c>
      <c r="C12" s="200"/>
      <c r="D12" s="201"/>
      <c r="E12" s="65"/>
      <c r="F12" s="44">
        <v>4</v>
      </c>
      <c r="G12" s="66"/>
      <c r="H12" s="45">
        <f>F12</f>
        <v>4</v>
      </c>
      <c r="I12" s="52"/>
    </row>
    <row r="13" spans="1:12" x14ac:dyDescent="0.25">
      <c r="A13" s="52"/>
      <c r="B13" s="199" t="s">
        <v>26</v>
      </c>
      <c r="C13" s="200"/>
      <c r="D13" s="201"/>
      <c r="E13" s="65"/>
      <c r="F13" s="46">
        <v>0.01</v>
      </c>
      <c r="G13" s="66"/>
      <c r="H13" s="47">
        <f>F13</f>
        <v>0.01</v>
      </c>
      <c r="I13" s="52"/>
    </row>
    <row r="14" spans="1:12" x14ac:dyDescent="0.25">
      <c r="A14" s="52"/>
      <c r="B14" s="199" t="s">
        <v>10</v>
      </c>
      <c r="C14" s="200"/>
      <c r="D14" s="201"/>
      <c r="E14" s="65"/>
      <c r="F14" s="48">
        <v>7.0000000000000007E-2</v>
      </c>
      <c r="G14" s="66"/>
      <c r="H14" s="69">
        <f>F14</f>
        <v>7.0000000000000007E-2</v>
      </c>
      <c r="I14" s="52"/>
    </row>
    <row r="15" spans="1:12" x14ac:dyDescent="0.25">
      <c r="A15" s="52"/>
      <c r="B15" s="199" t="s">
        <v>9</v>
      </c>
      <c r="C15" s="200"/>
      <c r="D15" s="201"/>
      <c r="E15" s="65"/>
      <c r="F15" s="70">
        <f>'Bull carrying cost details'!G32</f>
        <v>772.33797500000003</v>
      </c>
      <c r="G15" s="66"/>
      <c r="H15" s="71">
        <f>'Bull carrying cost details'!G32</f>
        <v>772.33797500000003</v>
      </c>
      <c r="I15" s="52"/>
    </row>
    <row r="16" spans="1:12" x14ac:dyDescent="0.25">
      <c r="A16" s="52"/>
      <c r="B16" s="199" t="s">
        <v>87</v>
      </c>
      <c r="C16" s="200"/>
      <c r="D16" s="201"/>
      <c r="E16" s="63"/>
      <c r="F16" s="72">
        <f>(F8-F11*(1-F13)*1/(1+F14)^F12)*(F14/(1-(1+F14)^-F12))</f>
        <v>1093.6940523786002</v>
      </c>
      <c r="G16" s="73"/>
      <c r="H16" s="74">
        <f>(H8-H11*(1-H13)*1/(1+H14)^H12)*(H14/(1-(1+H14)^-H12))</f>
        <v>1093.6940523786002</v>
      </c>
      <c r="I16" s="52"/>
    </row>
    <row r="17" spans="1:9" x14ac:dyDescent="0.25">
      <c r="A17" s="52"/>
      <c r="B17" s="199" t="s">
        <v>33</v>
      </c>
      <c r="C17" s="200"/>
      <c r="D17" s="201"/>
      <c r="E17" s="75"/>
      <c r="F17" s="76">
        <f>+F15+F16</f>
        <v>1866.0320273786001</v>
      </c>
      <c r="G17" s="77"/>
      <c r="H17" s="78">
        <f>+H15+H16</f>
        <v>1866.0320273786001</v>
      </c>
      <c r="I17" s="52"/>
    </row>
    <row r="18" spans="1:9" ht="9.9499999999999993" customHeight="1" x14ac:dyDescent="0.25">
      <c r="A18" s="52"/>
      <c r="B18" s="52"/>
      <c r="C18" s="52"/>
      <c r="D18" s="52"/>
      <c r="E18" s="52"/>
      <c r="F18" s="52"/>
      <c r="G18" s="52"/>
      <c r="H18" s="52"/>
      <c r="I18" s="52"/>
    </row>
    <row r="19" spans="1:9" x14ac:dyDescent="0.25">
      <c r="A19" s="52"/>
      <c r="B19" s="79" t="s">
        <v>1</v>
      </c>
      <c r="C19" s="79"/>
      <c r="D19" s="79"/>
      <c r="E19" s="79"/>
      <c r="F19" s="80"/>
      <c r="G19" s="81"/>
      <c r="H19" s="81"/>
      <c r="I19" s="52"/>
    </row>
    <row r="20" spans="1:9" x14ac:dyDescent="0.25">
      <c r="A20" s="52"/>
      <c r="B20" s="199" t="s">
        <v>97</v>
      </c>
      <c r="C20" s="200"/>
      <c r="D20" s="201"/>
      <c r="E20" s="65"/>
      <c r="F20" s="82" t="s">
        <v>61</v>
      </c>
      <c r="G20" s="66"/>
      <c r="H20" s="47">
        <v>0.55000000000000004</v>
      </c>
      <c r="I20" s="52"/>
    </row>
    <row r="21" spans="1:9" x14ac:dyDescent="0.25">
      <c r="A21" s="52"/>
      <c r="B21" s="199" t="s">
        <v>88</v>
      </c>
      <c r="C21" s="200"/>
      <c r="D21" s="201"/>
      <c r="E21" s="65"/>
      <c r="F21" s="83" t="s">
        <v>61</v>
      </c>
      <c r="G21" s="66"/>
      <c r="H21" s="84">
        <f>'AI cost details'!G11</f>
        <v>20.5</v>
      </c>
      <c r="I21" s="52"/>
    </row>
    <row r="22" spans="1:9" x14ac:dyDescent="0.25">
      <c r="A22" s="52"/>
      <c r="B22" s="199" t="s">
        <v>62</v>
      </c>
      <c r="C22" s="200"/>
      <c r="D22" s="201"/>
      <c r="E22" s="65"/>
      <c r="F22" s="82" t="s">
        <v>61</v>
      </c>
      <c r="G22" s="66"/>
      <c r="H22" s="84">
        <f>'AI cost details'!G13</f>
        <v>28</v>
      </c>
      <c r="I22" s="52"/>
    </row>
    <row r="23" spans="1:9" x14ac:dyDescent="0.25">
      <c r="A23" s="52"/>
      <c r="B23" s="199" t="s">
        <v>89</v>
      </c>
      <c r="C23" s="200"/>
      <c r="D23" s="201"/>
      <c r="E23" s="65"/>
      <c r="F23" s="82" t="s">
        <v>61</v>
      </c>
      <c r="G23" s="66"/>
      <c r="H23" s="84">
        <f>'AI cost details'!G19</f>
        <v>12.5</v>
      </c>
      <c r="I23" s="52"/>
    </row>
    <row r="24" spans="1:9" x14ac:dyDescent="0.25">
      <c r="A24" s="52"/>
      <c r="B24" s="199" t="s">
        <v>82</v>
      </c>
      <c r="C24" s="200"/>
      <c r="D24" s="201"/>
      <c r="E24" s="65"/>
      <c r="F24" s="82" t="s">
        <v>61</v>
      </c>
      <c r="G24" s="66"/>
      <c r="H24" s="85">
        <f>SUM(H21:H23)</f>
        <v>61</v>
      </c>
      <c r="I24" s="52"/>
    </row>
    <row r="25" spans="1:9" ht="9.9499999999999993" customHeight="1" x14ac:dyDescent="0.25">
      <c r="A25" s="52"/>
      <c r="B25" s="52"/>
      <c r="C25" s="52"/>
      <c r="D25" s="52"/>
      <c r="E25" s="52"/>
      <c r="F25" s="52"/>
      <c r="G25" s="52"/>
      <c r="H25" s="52"/>
      <c r="I25" s="52"/>
    </row>
    <row r="26" spans="1:9" x14ac:dyDescent="0.25">
      <c r="A26" s="52"/>
      <c r="B26" s="79" t="s">
        <v>0</v>
      </c>
      <c r="C26" s="79"/>
      <c r="D26" s="79"/>
      <c r="E26" s="79"/>
      <c r="F26" s="80"/>
      <c r="G26" s="81"/>
      <c r="H26" s="86"/>
      <c r="I26" s="52"/>
    </row>
    <row r="27" spans="1:9" x14ac:dyDescent="0.25">
      <c r="A27" s="52"/>
      <c r="B27" s="199" t="s">
        <v>68</v>
      </c>
      <c r="C27" s="200"/>
      <c r="D27" s="201"/>
      <c r="E27" s="65"/>
      <c r="F27" s="44">
        <v>100</v>
      </c>
      <c r="G27" s="66"/>
      <c r="H27" s="87">
        <f>F27</f>
        <v>100</v>
      </c>
      <c r="I27" s="52"/>
    </row>
    <row r="28" spans="1:9" x14ac:dyDescent="0.25">
      <c r="A28" s="52"/>
      <c r="B28" s="199" t="s">
        <v>30</v>
      </c>
      <c r="C28" s="200"/>
      <c r="D28" s="201"/>
      <c r="E28" s="65"/>
      <c r="F28" s="44">
        <v>25</v>
      </c>
      <c r="G28" s="66"/>
      <c r="H28" s="45">
        <v>25</v>
      </c>
      <c r="I28" s="52"/>
    </row>
    <row r="29" spans="1:9" x14ac:dyDescent="0.25">
      <c r="A29" s="52"/>
      <c r="B29" s="199" t="s">
        <v>69</v>
      </c>
      <c r="C29" s="200"/>
      <c r="D29" s="201"/>
      <c r="E29" s="65"/>
      <c r="F29" s="138">
        <v>4</v>
      </c>
      <c r="G29" s="66"/>
      <c r="H29" s="139">
        <v>2</v>
      </c>
      <c r="I29" s="88"/>
    </row>
    <row r="30" spans="1:9" x14ac:dyDescent="0.25">
      <c r="A30" s="52"/>
      <c r="B30" s="199" t="s">
        <v>70</v>
      </c>
      <c r="C30" s="200"/>
      <c r="D30" s="201"/>
      <c r="E30" s="65"/>
      <c r="F30" s="83">
        <f>F29*F17/F27</f>
        <v>74.641281095144009</v>
      </c>
      <c r="G30" s="66"/>
      <c r="H30" s="85">
        <f>H29*H17/H27</f>
        <v>37.320640547572005</v>
      </c>
      <c r="I30" s="52"/>
    </row>
    <row r="31" spans="1:9" ht="9.9499999999999993" customHeight="1" x14ac:dyDescent="0.25">
      <c r="A31" s="52"/>
      <c r="B31" s="52"/>
      <c r="C31" s="52"/>
      <c r="D31" s="52"/>
      <c r="E31" s="52"/>
      <c r="F31" s="52"/>
      <c r="G31" s="52"/>
      <c r="H31" s="52"/>
      <c r="I31" s="52"/>
    </row>
    <row r="32" spans="1:9" x14ac:dyDescent="0.25">
      <c r="A32" s="52"/>
      <c r="B32" s="199" t="s">
        <v>91</v>
      </c>
      <c r="C32" s="200"/>
      <c r="D32" s="201"/>
      <c r="E32" s="65"/>
      <c r="F32" s="83">
        <f>F30</f>
        <v>74.641281095144009</v>
      </c>
      <c r="G32" s="66"/>
      <c r="H32" s="85">
        <f>H30+H24</f>
        <v>98.320640547571998</v>
      </c>
      <c r="I32" s="52"/>
    </row>
    <row r="33" spans="1:11" x14ac:dyDescent="0.25">
      <c r="A33" s="52"/>
      <c r="B33" s="202" t="s">
        <v>98</v>
      </c>
      <c r="C33" s="203"/>
      <c r="D33" s="204"/>
      <c r="E33" s="63"/>
      <c r="F33" s="49">
        <v>0.92</v>
      </c>
      <c r="G33" s="64"/>
      <c r="H33" s="50">
        <v>0.92</v>
      </c>
      <c r="I33" s="52"/>
    </row>
    <row r="34" spans="1:11" ht="15.75" thickBot="1" x14ac:dyDescent="0.3">
      <c r="A34" s="52"/>
      <c r="B34" s="205" t="s">
        <v>90</v>
      </c>
      <c r="C34" s="206"/>
      <c r="D34" s="207"/>
      <c r="E34" s="89"/>
      <c r="F34" s="90">
        <f>F32/F33</f>
        <v>81.131827277330444</v>
      </c>
      <c r="G34" s="91"/>
      <c r="H34" s="92">
        <f>H32/H33</f>
        <v>106.87026146475216</v>
      </c>
      <c r="I34" s="52"/>
    </row>
    <row r="35" spans="1:11" ht="9.9499999999999993" customHeight="1" x14ac:dyDescent="0.25">
      <c r="A35" s="52"/>
      <c r="B35" s="93"/>
      <c r="C35" s="93"/>
      <c r="D35" s="93"/>
      <c r="E35" s="93"/>
      <c r="F35" s="94"/>
      <c r="G35" s="81"/>
      <c r="H35" s="94"/>
      <c r="I35" s="52"/>
    </row>
    <row r="36" spans="1:11" x14ac:dyDescent="0.25">
      <c r="A36" s="52"/>
      <c r="B36" s="213" t="s">
        <v>3</v>
      </c>
      <c r="C36" s="213"/>
      <c r="D36" s="213"/>
      <c r="E36" s="213"/>
      <c r="F36" s="213"/>
      <c r="G36" s="213"/>
      <c r="H36" s="213"/>
      <c r="I36" s="52"/>
    </row>
    <row r="37" spans="1:11" x14ac:dyDescent="0.25">
      <c r="A37" s="52"/>
      <c r="B37" s="209" t="s">
        <v>99</v>
      </c>
      <c r="C37" s="210"/>
      <c r="D37" s="211"/>
      <c r="E37" s="95"/>
      <c r="F37" s="96" t="s">
        <v>61</v>
      </c>
      <c r="G37" s="97"/>
      <c r="H37" s="51">
        <v>50</v>
      </c>
      <c r="I37" s="52"/>
    </row>
    <row r="38" spans="1:11" s="34" customFormat="1" x14ac:dyDescent="0.25">
      <c r="A38" s="98"/>
      <c r="B38" s="208" t="s">
        <v>83</v>
      </c>
      <c r="C38" s="200"/>
      <c r="D38" s="201"/>
      <c r="E38" s="99"/>
      <c r="F38" s="100"/>
      <c r="G38" s="100"/>
      <c r="H38" s="101"/>
      <c r="I38" s="98"/>
      <c r="K38" s="33"/>
    </row>
    <row r="39" spans="1:11" ht="9.9499999999999993" customHeight="1" thickBot="1" x14ac:dyDescent="0.3">
      <c r="A39" s="52"/>
      <c r="B39" s="102"/>
      <c r="C39" s="102"/>
      <c r="D39" s="102"/>
      <c r="E39" s="102"/>
      <c r="F39" s="102"/>
      <c r="G39" s="102"/>
      <c r="H39" s="102"/>
      <c r="I39" s="52"/>
    </row>
    <row r="40" spans="1:11" ht="16.5" thickTop="1" thickBot="1" x14ac:dyDescent="0.3">
      <c r="A40" s="52"/>
      <c r="B40" s="196" t="s">
        <v>71</v>
      </c>
      <c r="C40" s="197"/>
      <c r="D40" s="198"/>
      <c r="E40" s="103"/>
      <c r="F40" s="104">
        <f>F34</f>
        <v>81.131827277330444</v>
      </c>
      <c r="G40" s="105"/>
      <c r="H40" s="106">
        <f>H34-H37*H20</f>
        <v>79.370261464752161</v>
      </c>
      <c r="I40" s="52"/>
      <c r="K40" s="34"/>
    </row>
    <row r="41" spans="1:11" x14ac:dyDescent="0.25">
      <c r="A41" s="52"/>
      <c r="B41" s="52"/>
      <c r="C41" s="52"/>
      <c r="D41" s="52"/>
      <c r="E41" s="52"/>
      <c r="F41" s="52"/>
      <c r="G41" s="52"/>
      <c r="H41" s="52"/>
      <c r="I41" s="52"/>
    </row>
    <row r="42" spans="1:11" x14ac:dyDescent="0.25">
      <c r="A42" s="52"/>
      <c r="B42" s="52"/>
      <c r="C42" s="52"/>
      <c r="D42" s="52"/>
      <c r="E42" s="52"/>
      <c r="F42" s="52"/>
      <c r="G42" s="52"/>
      <c r="H42" s="52"/>
      <c r="I42" s="52"/>
    </row>
    <row r="43" spans="1:11" s="2" customFormat="1" x14ac:dyDescent="0.25">
      <c r="A43" s="1"/>
      <c r="B43" s="1"/>
      <c r="C43" s="1"/>
      <c r="D43" s="1"/>
      <c r="E43" s="1"/>
      <c r="F43" s="1"/>
      <c r="G43" s="1"/>
      <c r="H43" s="1"/>
      <c r="I43" s="1"/>
    </row>
    <row r="44" spans="1:11" s="2" customFormat="1" x14ac:dyDescent="0.25">
      <c r="A44" s="1"/>
      <c r="B44" s="1"/>
      <c r="C44" s="1"/>
      <c r="D44" s="1"/>
      <c r="E44" s="1"/>
      <c r="F44" s="1"/>
      <c r="G44" s="1"/>
      <c r="H44" s="1"/>
      <c r="I44" s="1"/>
    </row>
    <row r="45" spans="1:11" s="2" customFormat="1" x14ac:dyDescent="0.25">
      <c r="A45" s="1"/>
      <c r="B45" s="1"/>
      <c r="C45" s="1"/>
      <c r="D45" s="1"/>
      <c r="E45" s="1"/>
      <c r="F45" s="1"/>
      <c r="G45" s="1"/>
      <c r="H45" s="1"/>
      <c r="I45" s="1"/>
    </row>
    <row r="46" spans="1:11" s="2" customFormat="1" x14ac:dyDescent="0.25">
      <c r="A46" s="1"/>
      <c r="B46" s="1"/>
      <c r="C46" s="1"/>
      <c r="D46" s="1"/>
      <c r="E46" s="1"/>
      <c r="F46" s="1"/>
      <c r="G46" s="1"/>
      <c r="H46" s="1"/>
      <c r="I46" s="1"/>
    </row>
    <row r="47" spans="1:11" s="2" customFormat="1" x14ac:dyDescent="0.25">
      <c r="A47" s="1"/>
      <c r="B47" s="1"/>
      <c r="C47" s="1"/>
      <c r="D47" s="1"/>
      <c r="E47" s="1"/>
      <c r="F47" s="1"/>
      <c r="G47" s="1"/>
      <c r="H47" s="1"/>
      <c r="I47" s="1"/>
    </row>
    <row r="48" spans="1:11" s="2" customFormat="1" x14ac:dyDescent="0.25">
      <c r="A48" s="1"/>
      <c r="B48" s="1"/>
      <c r="C48" s="1"/>
      <c r="D48" s="1"/>
      <c r="E48" s="1"/>
      <c r="F48" s="1"/>
      <c r="G48" s="1"/>
      <c r="H48" s="1"/>
      <c r="I48" s="1"/>
    </row>
    <row r="49" spans="1:9" s="2" customFormat="1" x14ac:dyDescent="0.25">
      <c r="A49" s="1"/>
      <c r="B49" s="1"/>
      <c r="C49" s="1"/>
      <c r="D49" s="1"/>
      <c r="E49" s="1"/>
      <c r="F49" s="1"/>
      <c r="G49" s="1"/>
      <c r="H49" s="1"/>
      <c r="I49" s="1"/>
    </row>
    <row r="50" spans="1:9" s="2" customFormat="1" x14ac:dyDescent="0.25">
      <c r="A50" s="1"/>
      <c r="B50" s="1"/>
      <c r="C50" s="1"/>
      <c r="D50" s="1"/>
      <c r="E50" s="1"/>
      <c r="F50" s="1"/>
      <c r="G50" s="1"/>
      <c r="H50" s="1"/>
      <c r="I50" s="1"/>
    </row>
    <row r="51" spans="1:9" s="2" customFormat="1" x14ac:dyDescent="0.25">
      <c r="A51" s="1"/>
      <c r="B51" s="1"/>
      <c r="C51" s="1"/>
      <c r="D51" s="1"/>
      <c r="E51" s="1"/>
      <c r="F51" s="1"/>
      <c r="G51" s="1"/>
      <c r="H51" s="1"/>
      <c r="I51" s="1"/>
    </row>
    <row r="52" spans="1:9" s="2" customFormat="1" x14ac:dyDescent="0.25">
      <c r="A52" s="1"/>
      <c r="B52" s="1"/>
      <c r="C52" s="1"/>
      <c r="D52" s="1"/>
      <c r="E52" s="1"/>
      <c r="F52" s="1"/>
      <c r="G52" s="1"/>
      <c r="H52" s="1"/>
      <c r="I52" s="1"/>
    </row>
    <row r="53" spans="1:9" s="2" customFormat="1" x14ac:dyDescent="0.25">
      <c r="A53" s="1"/>
      <c r="B53" s="1"/>
      <c r="C53" s="1"/>
      <c r="D53" s="1"/>
      <c r="E53" s="1"/>
      <c r="F53" s="1"/>
      <c r="G53" s="1"/>
      <c r="H53" s="1"/>
      <c r="I53" s="1"/>
    </row>
    <row r="54" spans="1:9" s="2" customFormat="1" x14ac:dyDescent="0.25">
      <c r="A54" s="1"/>
      <c r="B54" s="1"/>
      <c r="C54" s="1"/>
      <c r="D54" s="1"/>
      <c r="E54" s="1"/>
      <c r="F54" s="1"/>
      <c r="G54" s="1"/>
      <c r="H54" s="1"/>
      <c r="I54" s="1"/>
    </row>
    <row r="55" spans="1:9" s="2" customFormat="1" x14ac:dyDescent="0.25">
      <c r="A55" s="1"/>
      <c r="B55" s="1"/>
      <c r="C55" s="1"/>
      <c r="D55" s="1"/>
      <c r="E55" s="1"/>
      <c r="F55" s="1"/>
      <c r="G55" s="1"/>
      <c r="H55" s="1"/>
      <c r="I55" s="1"/>
    </row>
    <row r="56" spans="1:9" s="2" customFormat="1" x14ac:dyDescent="0.25">
      <c r="A56" s="1"/>
      <c r="B56" s="1"/>
      <c r="C56" s="1"/>
      <c r="D56" s="1"/>
      <c r="E56" s="1"/>
      <c r="F56" s="1"/>
      <c r="G56" s="1"/>
      <c r="H56" s="1"/>
      <c r="I56" s="1"/>
    </row>
    <row r="57" spans="1:9" s="2" customFormat="1" x14ac:dyDescent="0.25">
      <c r="A57" s="1"/>
      <c r="B57" s="1"/>
      <c r="C57" s="1"/>
      <c r="D57" s="1"/>
      <c r="E57" s="1"/>
      <c r="F57" s="1"/>
      <c r="G57" s="1"/>
      <c r="H57" s="1"/>
      <c r="I57" s="1"/>
    </row>
    <row r="58" spans="1:9" s="2" customFormat="1" x14ac:dyDescent="0.25">
      <c r="A58" s="1"/>
      <c r="B58" s="1"/>
      <c r="C58" s="1"/>
      <c r="D58" s="1"/>
      <c r="E58" s="1"/>
      <c r="F58" s="1"/>
      <c r="G58" s="1"/>
      <c r="H58" s="1"/>
      <c r="I58" s="1"/>
    </row>
    <row r="59" spans="1:9" s="2" customFormat="1" x14ac:dyDescent="0.25">
      <c r="A59" s="1"/>
      <c r="B59" s="1"/>
      <c r="C59" s="1"/>
      <c r="D59" s="1"/>
      <c r="E59" s="1"/>
      <c r="F59" s="1"/>
      <c r="G59" s="1"/>
      <c r="H59" s="1"/>
      <c r="I59" s="1"/>
    </row>
    <row r="60" spans="1:9" s="2" customFormat="1" x14ac:dyDescent="0.25">
      <c r="A60" s="1"/>
      <c r="B60" s="1"/>
      <c r="C60" s="1"/>
      <c r="D60" s="1"/>
      <c r="E60" s="1"/>
      <c r="F60" s="1"/>
      <c r="G60" s="1"/>
      <c r="H60" s="1"/>
      <c r="I60" s="1"/>
    </row>
    <row r="61" spans="1:9" s="2" customFormat="1" x14ac:dyDescent="0.25">
      <c r="A61" s="1"/>
      <c r="B61" s="1"/>
      <c r="C61" s="1"/>
      <c r="D61" s="1"/>
      <c r="E61" s="1"/>
      <c r="F61" s="1"/>
      <c r="G61" s="1"/>
      <c r="H61" s="1"/>
      <c r="I61" s="1"/>
    </row>
    <row r="62" spans="1:9" s="2" customFormat="1" x14ac:dyDescent="0.25">
      <c r="A62" s="1"/>
      <c r="B62" s="1"/>
      <c r="C62" s="1"/>
      <c r="D62" s="1"/>
      <c r="E62" s="1"/>
      <c r="F62" s="1"/>
      <c r="G62" s="1"/>
      <c r="H62" s="1"/>
      <c r="I62" s="1"/>
    </row>
    <row r="63" spans="1:9" s="2" customFormat="1" x14ac:dyDescent="0.25">
      <c r="A63" s="1"/>
      <c r="B63" s="1"/>
      <c r="C63" s="1"/>
      <c r="D63" s="1"/>
      <c r="E63" s="1"/>
      <c r="F63" s="1"/>
      <c r="G63" s="1"/>
      <c r="H63" s="1"/>
      <c r="I63" s="1"/>
    </row>
    <row r="64" spans="1:9" s="2" customFormat="1" x14ac:dyDescent="0.25">
      <c r="A64" s="1"/>
      <c r="B64" s="1"/>
      <c r="C64" s="1"/>
      <c r="D64" s="1"/>
      <c r="E64" s="1"/>
      <c r="F64" s="1"/>
      <c r="G64" s="1"/>
      <c r="H64" s="1"/>
      <c r="I64" s="1"/>
    </row>
    <row r="65" spans="1:9" s="2" customFormat="1" x14ac:dyDescent="0.25">
      <c r="A65" s="1"/>
      <c r="B65" s="1"/>
      <c r="C65" s="1"/>
      <c r="D65" s="1"/>
      <c r="E65" s="1"/>
      <c r="F65" s="1"/>
      <c r="G65" s="1"/>
      <c r="H65" s="1"/>
      <c r="I65" s="1"/>
    </row>
    <row r="66" spans="1:9" s="2" customFormat="1" x14ac:dyDescent="0.25">
      <c r="A66" s="1"/>
      <c r="B66" s="1"/>
      <c r="C66" s="1"/>
      <c r="D66" s="1"/>
      <c r="E66" s="1"/>
      <c r="F66" s="1"/>
      <c r="G66" s="1"/>
      <c r="H66" s="1"/>
      <c r="I66" s="1"/>
    </row>
    <row r="67" spans="1:9" s="2" customFormat="1" x14ac:dyDescent="0.25">
      <c r="A67" s="1"/>
      <c r="B67" s="1"/>
      <c r="C67" s="1"/>
      <c r="D67" s="1"/>
      <c r="E67" s="1"/>
      <c r="F67" s="1"/>
      <c r="G67" s="1"/>
      <c r="H67" s="1"/>
      <c r="I67" s="1"/>
    </row>
    <row r="68" spans="1:9" s="2" customFormat="1" x14ac:dyDescent="0.25">
      <c r="A68" s="1"/>
      <c r="B68" s="1"/>
      <c r="C68" s="1"/>
      <c r="D68" s="1"/>
      <c r="E68" s="1"/>
      <c r="F68" s="1"/>
      <c r="G68" s="1"/>
      <c r="H68" s="1"/>
      <c r="I68" s="1"/>
    </row>
    <row r="69" spans="1:9" s="2" customFormat="1" x14ac:dyDescent="0.25">
      <c r="A69" s="1"/>
      <c r="B69" s="1"/>
      <c r="C69" s="1"/>
      <c r="D69" s="1"/>
      <c r="E69" s="1"/>
      <c r="F69" s="1"/>
      <c r="G69" s="1"/>
      <c r="H69" s="1"/>
      <c r="I69" s="1"/>
    </row>
    <row r="70" spans="1:9" s="2" customFormat="1" x14ac:dyDescent="0.25">
      <c r="A70" s="1"/>
      <c r="B70" s="1"/>
      <c r="C70" s="1"/>
      <c r="D70" s="1"/>
      <c r="E70" s="1"/>
      <c r="F70" s="1"/>
      <c r="G70" s="1"/>
      <c r="H70" s="1"/>
      <c r="I70" s="1"/>
    </row>
    <row r="71" spans="1:9" s="2" customFormat="1" x14ac:dyDescent="0.25">
      <c r="A71" s="1"/>
      <c r="B71" s="1"/>
      <c r="C71" s="1"/>
      <c r="D71" s="1"/>
      <c r="E71" s="1"/>
      <c r="F71" s="1"/>
      <c r="G71" s="1"/>
      <c r="H71" s="1"/>
      <c r="I71" s="1"/>
    </row>
    <row r="72" spans="1:9" s="2" customFormat="1" x14ac:dyDescent="0.25">
      <c r="A72" s="1"/>
      <c r="B72" s="1"/>
      <c r="C72" s="1"/>
      <c r="D72" s="1"/>
      <c r="E72" s="1"/>
      <c r="F72" s="1"/>
      <c r="G72" s="1"/>
      <c r="H72" s="1"/>
      <c r="I72" s="1"/>
    </row>
    <row r="73" spans="1:9" s="2" customFormat="1" x14ac:dyDescent="0.25">
      <c r="A73" s="1"/>
      <c r="B73" s="1"/>
      <c r="C73" s="1"/>
      <c r="D73" s="1"/>
      <c r="E73" s="1"/>
      <c r="F73" s="1"/>
      <c r="G73" s="1"/>
      <c r="H73" s="1"/>
      <c r="I73" s="1"/>
    </row>
    <row r="74" spans="1:9" s="2" customFormat="1" x14ac:dyDescent="0.25">
      <c r="A74" s="1"/>
      <c r="B74" s="1"/>
      <c r="C74" s="1"/>
      <c r="D74" s="1"/>
      <c r="E74" s="1"/>
      <c r="F74" s="1"/>
      <c r="G74" s="1"/>
      <c r="H74" s="1"/>
      <c r="I74" s="1"/>
    </row>
    <row r="75" spans="1:9" s="2" customFormat="1" x14ac:dyDescent="0.25">
      <c r="A75" s="1"/>
      <c r="B75" s="1"/>
      <c r="C75" s="1"/>
      <c r="D75" s="1"/>
      <c r="E75" s="1"/>
      <c r="F75" s="1"/>
      <c r="G75" s="1"/>
      <c r="H75" s="1"/>
      <c r="I75" s="1"/>
    </row>
    <row r="76" spans="1:9" s="2" customFormat="1" x14ac:dyDescent="0.25">
      <c r="A76" s="1"/>
      <c r="B76" s="1"/>
      <c r="C76" s="1"/>
      <c r="D76" s="1"/>
      <c r="E76" s="1"/>
      <c r="F76" s="1"/>
      <c r="G76" s="1"/>
      <c r="H76" s="1"/>
      <c r="I76" s="1"/>
    </row>
    <row r="77" spans="1:9" s="2" customFormat="1" x14ac:dyDescent="0.25">
      <c r="A77" s="1"/>
      <c r="B77" s="1"/>
      <c r="C77" s="1"/>
      <c r="D77" s="1"/>
      <c r="E77" s="1"/>
      <c r="F77" s="1"/>
      <c r="G77" s="1"/>
      <c r="H77" s="1"/>
      <c r="I77" s="1"/>
    </row>
    <row r="78" spans="1:9" s="2" customFormat="1" x14ac:dyDescent="0.25">
      <c r="A78" s="1"/>
      <c r="B78" s="1"/>
      <c r="C78" s="1"/>
      <c r="D78" s="1"/>
      <c r="E78" s="1"/>
      <c r="F78" s="1"/>
      <c r="G78" s="1"/>
      <c r="H78" s="1"/>
      <c r="I78" s="1"/>
    </row>
    <row r="79" spans="1:9" s="2" customFormat="1" x14ac:dyDescent="0.25">
      <c r="A79" s="1"/>
      <c r="B79" s="1"/>
      <c r="C79" s="1"/>
      <c r="D79" s="1"/>
      <c r="E79" s="1"/>
      <c r="F79" s="1"/>
      <c r="G79" s="1"/>
      <c r="H79" s="1"/>
      <c r="I79" s="1"/>
    </row>
    <row r="80" spans="1:9" s="2" customFormat="1" x14ac:dyDescent="0.25">
      <c r="A80" s="1"/>
      <c r="B80" s="1"/>
      <c r="C80" s="1"/>
      <c r="D80" s="1"/>
      <c r="E80" s="1"/>
      <c r="F80" s="1"/>
      <c r="G80" s="1"/>
      <c r="H80" s="1"/>
      <c r="I80" s="1"/>
    </row>
    <row r="81" spans="1:9" s="2" customFormat="1" x14ac:dyDescent="0.25">
      <c r="A81" s="1"/>
      <c r="B81" s="1"/>
      <c r="C81" s="1"/>
      <c r="D81" s="1"/>
      <c r="E81" s="1"/>
      <c r="F81" s="1"/>
      <c r="G81" s="1"/>
      <c r="H81" s="1"/>
      <c r="I81" s="1"/>
    </row>
    <row r="82" spans="1:9" s="2" customFormat="1" x14ac:dyDescent="0.25">
      <c r="A82" s="1"/>
      <c r="B82" s="1"/>
      <c r="C82" s="1"/>
      <c r="D82" s="1"/>
      <c r="E82" s="1"/>
      <c r="F82" s="1"/>
      <c r="G82" s="1"/>
      <c r="H82" s="1"/>
      <c r="I82" s="1"/>
    </row>
    <row r="83" spans="1:9" s="2" customFormat="1" x14ac:dyDescent="0.25">
      <c r="A83" s="1"/>
      <c r="B83" s="1"/>
      <c r="C83" s="1"/>
      <c r="D83" s="1"/>
      <c r="E83" s="1"/>
      <c r="F83" s="1"/>
      <c r="G83" s="1"/>
      <c r="H83" s="1"/>
      <c r="I83" s="1"/>
    </row>
    <row r="84" spans="1:9" s="2" customFormat="1" x14ac:dyDescent="0.25">
      <c r="A84" s="1"/>
      <c r="B84" s="1"/>
      <c r="C84" s="1"/>
      <c r="D84" s="1"/>
      <c r="E84" s="1"/>
      <c r="F84" s="1"/>
      <c r="G84" s="1"/>
      <c r="H84" s="1"/>
      <c r="I84" s="1"/>
    </row>
    <row r="85" spans="1:9" s="2" customFormat="1" x14ac:dyDescent="0.25">
      <c r="A85" s="1"/>
      <c r="B85" s="1"/>
      <c r="C85" s="1"/>
      <c r="D85" s="1"/>
      <c r="E85" s="1"/>
      <c r="F85" s="1"/>
      <c r="G85" s="1"/>
      <c r="H85" s="1"/>
      <c r="I85" s="1"/>
    </row>
    <row r="86" spans="1:9" s="2" customFormat="1" x14ac:dyDescent="0.25">
      <c r="A86" s="1"/>
      <c r="B86" s="1"/>
      <c r="C86" s="1"/>
      <c r="D86" s="1"/>
      <c r="E86" s="1"/>
      <c r="F86" s="1"/>
      <c r="G86" s="1"/>
      <c r="H86" s="1"/>
      <c r="I86" s="1"/>
    </row>
    <row r="87" spans="1:9" s="2" customFormat="1" x14ac:dyDescent="0.25">
      <c r="A87" s="1"/>
      <c r="B87" s="1"/>
      <c r="C87" s="1"/>
      <c r="D87" s="1"/>
      <c r="E87" s="1"/>
      <c r="F87" s="1"/>
      <c r="G87" s="1"/>
      <c r="H87" s="1"/>
      <c r="I87" s="1"/>
    </row>
    <row r="88" spans="1:9" s="2" customFormat="1" x14ac:dyDescent="0.25">
      <c r="A88" s="1"/>
      <c r="B88" s="1"/>
      <c r="C88" s="1"/>
      <c r="D88" s="1"/>
      <c r="E88" s="1"/>
      <c r="F88" s="1"/>
      <c r="G88" s="1"/>
      <c r="H88" s="1"/>
      <c r="I88" s="1"/>
    </row>
    <row r="89" spans="1:9" s="2" customFormat="1" x14ac:dyDescent="0.25">
      <c r="A89" s="1"/>
      <c r="B89" s="1"/>
      <c r="C89" s="1"/>
      <c r="D89" s="1"/>
      <c r="E89" s="1"/>
      <c r="F89" s="1"/>
      <c r="G89" s="1"/>
      <c r="H89" s="1"/>
      <c r="I89" s="1"/>
    </row>
    <row r="90" spans="1:9" s="2" customFormat="1" x14ac:dyDescent="0.25">
      <c r="A90" s="1"/>
      <c r="B90" s="1"/>
      <c r="C90" s="1"/>
      <c r="D90" s="1"/>
      <c r="E90" s="1"/>
      <c r="F90" s="1"/>
      <c r="G90" s="1"/>
      <c r="H90" s="1"/>
      <c r="I90" s="1"/>
    </row>
    <row r="91" spans="1:9" s="2" customFormat="1" x14ac:dyDescent="0.25">
      <c r="A91" s="1"/>
      <c r="B91" s="1"/>
      <c r="C91" s="1"/>
      <c r="D91" s="1"/>
      <c r="E91" s="1"/>
      <c r="F91" s="1"/>
      <c r="G91" s="1"/>
      <c r="H91" s="1"/>
      <c r="I91" s="1"/>
    </row>
    <row r="92" spans="1:9" s="2" customFormat="1" x14ac:dyDescent="0.25">
      <c r="A92" s="1"/>
      <c r="B92" s="1"/>
      <c r="C92" s="1"/>
      <c r="D92" s="1"/>
      <c r="E92" s="1"/>
      <c r="F92" s="1"/>
      <c r="G92" s="1"/>
      <c r="H92" s="1"/>
      <c r="I92" s="1"/>
    </row>
    <row r="93" spans="1:9" s="2" customFormat="1" ht="15.75" thickBot="1" x14ac:dyDescent="0.3">
      <c r="A93" s="1"/>
      <c r="B93" s="1"/>
      <c r="C93" s="1"/>
      <c r="D93" s="1"/>
      <c r="E93" s="1"/>
      <c r="F93" s="1"/>
      <c r="G93" s="1"/>
      <c r="H93" s="1"/>
      <c r="I93" s="1"/>
    </row>
    <row r="94" spans="1:9" s="2" customFormat="1" x14ac:dyDescent="0.25">
      <c r="A94" s="1"/>
      <c r="B94" s="107"/>
      <c r="C94" s="108"/>
      <c r="D94" s="108"/>
      <c r="E94" s="108"/>
      <c r="F94" s="108"/>
      <c r="G94" s="108"/>
      <c r="H94" s="108"/>
      <c r="I94" s="109"/>
    </row>
    <row r="95" spans="1:9" s="2" customFormat="1" x14ac:dyDescent="0.25">
      <c r="A95" s="1"/>
      <c r="B95" s="110" t="s">
        <v>84</v>
      </c>
      <c r="C95" s="111"/>
      <c r="D95" s="111"/>
      <c r="E95" s="111"/>
      <c r="F95" s="112"/>
      <c r="G95" s="112"/>
      <c r="H95" s="112"/>
      <c r="I95" s="113"/>
    </row>
    <row r="96" spans="1:9" s="2" customFormat="1" x14ac:dyDescent="0.25">
      <c r="A96" s="1"/>
      <c r="B96" s="114" t="s">
        <v>32</v>
      </c>
      <c r="C96" s="115"/>
      <c r="D96" s="115"/>
      <c r="E96" s="115"/>
      <c r="F96" s="36">
        <v>1</v>
      </c>
      <c r="G96" s="112"/>
      <c r="H96" s="36">
        <v>1</v>
      </c>
      <c r="I96" s="113"/>
    </row>
    <row r="97" spans="1:11" s="2" customFormat="1" x14ac:dyDescent="0.25">
      <c r="A97" s="1"/>
      <c r="B97" s="114" t="str">
        <f>" (battery implies "&amp;FIXED(1/F12*100,1)&amp;"% of bulls are bought and sold every year)"</f>
        <v xml:space="preserve"> (battery implies 25.0% of bulls are bought and sold every year)</v>
      </c>
      <c r="C97" s="115"/>
      <c r="D97" s="115"/>
      <c r="E97" s="115"/>
      <c r="F97" s="112"/>
      <c r="G97" s="112"/>
      <c r="H97" s="112"/>
      <c r="I97" s="113"/>
    </row>
    <row r="98" spans="1:11" s="2" customFormat="1" x14ac:dyDescent="0.25">
      <c r="A98" s="1"/>
      <c r="B98" s="114" t="s">
        <v>64</v>
      </c>
      <c r="C98" s="115"/>
      <c r="D98" s="115"/>
      <c r="E98" s="115"/>
      <c r="F98" s="116">
        <f>F27/F28</f>
        <v>4</v>
      </c>
      <c r="G98" s="116"/>
      <c r="H98" s="116">
        <f>(H27*(1-H20))/H28</f>
        <v>1.7999999999999998</v>
      </c>
      <c r="I98" s="113"/>
    </row>
    <row r="99" spans="1:11" x14ac:dyDescent="0.25">
      <c r="A99" s="117"/>
      <c r="B99" s="114" t="s">
        <v>66</v>
      </c>
      <c r="C99" s="115"/>
      <c r="D99" s="115"/>
      <c r="E99" s="115"/>
      <c r="F99" s="116">
        <f>F98-INT(F98)</f>
        <v>0</v>
      </c>
      <c r="G99" s="116"/>
      <c r="H99" s="116">
        <f>H98-INT(H98)</f>
        <v>0.79999999999999982</v>
      </c>
      <c r="I99" s="113"/>
      <c r="K99" s="2"/>
    </row>
    <row r="100" spans="1:11" x14ac:dyDescent="0.25">
      <c r="A100" s="117"/>
      <c r="B100" s="114" t="s">
        <v>65</v>
      </c>
      <c r="C100" s="115"/>
      <c r="D100" s="115"/>
      <c r="E100" s="115"/>
      <c r="F100" s="37">
        <v>0.33</v>
      </c>
      <c r="G100" s="118"/>
      <c r="H100" s="37">
        <f>F100</f>
        <v>0.33</v>
      </c>
      <c r="I100" s="113"/>
      <c r="K100" s="2"/>
    </row>
    <row r="101" spans="1:11" x14ac:dyDescent="0.25">
      <c r="A101" s="117"/>
      <c r="B101" s="114" t="s">
        <v>67</v>
      </c>
      <c r="C101" s="115"/>
      <c r="D101" s="115"/>
      <c r="E101" s="115"/>
      <c r="F101" s="37">
        <v>0</v>
      </c>
      <c r="G101" s="118"/>
      <c r="H101" s="37">
        <f>F101</f>
        <v>0</v>
      </c>
      <c r="I101" s="113"/>
      <c r="K101" s="2"/>
    </row>
    <row r="102" spans="1:11" x14ac:dyDescent="0.25">
      <c r="A102" s="117"/>
      <c r="B102" s="119"/>
      <c r="C102" s="112"/>
      <c r="D102" s="112"/>
      <c r="E102" s="112"/>
      <c r="F102" s="112"/>
      <c r="G102" s="112"/>
      <c r="H102" s="112"/>
      <c r="I102" s="113"/>
      <c r="K102" s="2"/>
    </row>
    <row r="103" spans="1:11" x14ac:dyDescent="0.25">
      <c r="A103" s="117"/>
      <c r="B103" s="120" t="s">
        <v>34</v>
      </c>
      <c r="C103" s="121"/>
      <c r="D103" s="121"/>
      <c r="E103" s="121"/>
      <c r="F103" s="112"/>
      <c r="G103" s="112"/>
      <c r="H103" s="112"/>
      <c r="I103" s="113"/>
      <c r="K103" s="2"/>
    </row>
    <row r="104" spans="1:11" x14ac:dyDescent="0.25">
      <c r="A104" s="117"/>
      <c r="B104" s="122" t="s">
        <v>31</v>
      </c>
      <c r="C104" s="116"/>
      <c r="D104" s="116"/>
      <c r="E104" s="116"/>
      <c r="F104" s="112"/>
      <c r="G104" s="112"/>
      <c r="H104" s="112"/>
      <c r="I104" s="113"/>
      <c r="K104" s="2"/>
    </row>
    <row r="105" spans="1:11" x14ac:dyDescent="0.25">
      <c r="A105" s="117"/>
      <c r="B105" s="123">
        <v>0</v>
      </c>
      <c r="C105" s="124">
        <f t="shared" ref="C105:C115" si="0">IF(B105=F$12,F$11*(1-F$13),0)</f>
        <v>0</v>
      </c>
      <c r="D105" s="124">
        <f>F8</f>
        <v>5200</v>
      </c>
      <c r="E105" s="124">
        <f t="shared" ref="E105:E114" si="1">D106*(1-F$13)</f>
        <v>4351.05</v>
      </c>
      <c r="F105" s="124">
        <v>0</v>
      </c>
      <c r="G105" s="124">
        <v>0</v>
      </c>
      <c r="H105" s="125">
        <f t="shared" ref="H105:H115" si="2">IF(B105&lt;F$12,1/F$12,0)</f>
        <v>0.25</v>
      </c>
      <c r="I105" s="126">
        <f>1/(1+F$14)^B105</f>
        <v>1</v>
      </c>
      <c r="K105" s="2"/>
    </row>
    <row r="106" spans="1:11" x14ac:dyDescent="0.25">
      <c r="A106" s="117"/>
      <c r="B106" s="123">
        <f>+B105+1</f>
        <v>1</v>
      </c>
      <c r="C106" s="124">
        <f t="shared" si="0"/>
        <v>0</v>
      </c>
      <c r="D106" s="124">
        <f t="shared" ref="D106:D115" si="3">IF(B106&lt;=F$12,D105-(D$105-MAX(C$105:C$115)/(1-F$13))/F$12,0)</f>
        <v>4395</v>
      </c>
      <c r="E106" s="124">
        <f t="shared" si="1"/>
        <v>3554.1</v>
      </c>
      <c r="F106" s="124">
        <f t="shared" ref="F106:F115" si="4">D$105*H106</f>
        <v>1300</v>
      </c>
      <c r="G106" s="124">
        <f t="shared" ref="G106:G115" si="5">IF(B106&lt;=F$12,F$11*(1-F$13),0)</f>
        <v>1960.2000000000003</v>
      </c>
      <c r="H106" s="125">
        <f t="shared" si="2"/>
        <v>0.25</v>
      </c>
      <c r="I106" s="126">
        <f t="shared" ref="I106:I115" si="6">1/(1+F$14)^B106</f>
        <v>0.93457943925233644</v>
      </c>
      <c r="K106" s="2"/>
    </row>
    <row r="107" spans="1:11" x14ac:dyDescent="0.25">
      <c r="A107" s="117"/>
      <c r="B107" s="123">
        <f t="shared" ref="B107:B115" si="7">+B106+1</f>
        <v>2</v>
      </c>
      <c r="C107" s="124">
        <f t="shared" si="0"/>
        <v>0</v>
      </c>
      <c r="D107" s="124">
        <f t="shared" si="3"/>
        <v>3590</v>
      </c>
      <c r="E107" s="124">
        <f t="shared" si="1"/>
        <v>2757.15</v>
      </c>
      <c r="F107" s="124">
        <f t="shared" si="4"/>
        <v>1300</v>
      </c>
      <c r="G107" s="124">
        <f t="shared" si="5"/>
        <v>1960.2000000000003</v>
      </c>
      <c r="H107" s="125">
        <f t="shared" si="2"/>
        <v>0.25</v>
      </c>
      <c r="I107" s="126">
        <f t="shared" si="6"/>
        <v>0.87343872827321156</v>
      </c>
      <c r="K107" s="2"/>
    </row>
    <row r="108" spans="1:11" x14ac:dyDescent="0.25">
      <c r="A108" s="117"/>
      <c r="B108" s="123">
        <f t="shared" si="7"/>
        <v>3</v>
      </c>
      <c r="C108" s="124">
        <f t="shared" si="0"/>
        <v>0</v>
      </c>
      <c r="D108" s="124">
        <f t="shared" si="3"/>
        <v>2785</v>
      </c>
      <c r="E108" s="124">
        <f t="shared" si="1"/>
        <v>1960.2</v>
      </c>
      <c r="F108" s="124">
        <f t="shared" si="4"/>
        <v>1300</v>
      </c>
      <c r="G108" s="124">
        <f t="shared" si="5"/>
        <v>1960.2000000000003</v>
      </c>
      <c r="H108" s="125">
        <f t="shared" si="2"/>
        <v>0.25</v>
      </c>
      <c r="I108" s="126">
        <f t="shared" si="6"/>
        <v>0.81629787689085187</v>
      </c>
      <c r="K108" s="2"/>
    </row>
    <row r="109" spans="1:11" x14ac:dyDescent="0.25">
      <c r="A109" s="117"/>
      <c r="B109" s="123">
        <f t="shared" si="7"/>
        <v>4</v>
      </c>
      <c r="C109" s="124">
        <f t="shared" si="0"/>
        <v>1960.2000000000003</v>
      </c>
      <c r="D109" s="124">
        <f t="shared" si="3"/>
        <v>1980</v>
      </c>
      <c r="E109" s="124">
        <f t="shared" si="1"/>
        <v>0</v>
      </c>
      <c r="F109" s="124">
        <f t="shared" si="4"/>
        <v>0</v>
      </c>
      <c r="G109" s="124">
        <f t="shared" si="5"/>
        <v>1960.2000000000003</v>
      </c>
      <c r="H109" s="125">
        <f t="shared" si="2"/>
        <v>0</v>
      </c>
      <c r="I109" s="126">
        <f t="shared" si="6"/>
        <v>0.7628952120475252</v>
      </c>
      <c r="K109" s="2"/>
    </row>
    <row r="110" spans="1:11" x14ac:dyDescent="0.25">
      <c r="A110" s="117"/>
      <c r="B110" s="123">
        <f>+B109+1</f>
        <v>5</v>
      </c>
      <c r="C110" s="124">
        <f t="shared" si="0"/>
        <v>0</v>
      </c>
      <c r="D110" s="124">
        <f t="shared" si="3"/>
        <v>0</v>
      </c>
      <c r="E110" s="124">
        <f t="shared" si="1"/>
        <v>0</v>
      </c>
      <c r="F110" s="124">
        <f t="shared" si="4"/>
        <v>0</v>
      </c>
      <c r="G110" s="124">
        <f t="shared" si="5"/>
        <v>0</v>
      </c>
      <c r="H110" s="125">
        <f t="shared" si="2"/>
        <v>0</v>
      </c>
      <c r="I110" s="126">
        <f t="shared" si="6"/>
        <v>0.71298617948366838</v>
      </c>
      <c r="K110" s="2"/>
    </row>
    <row r="111" spans="1:11" x14ac:dyDescent="0.25">
      <c r="A111" s="117"/>
      <c r="B111" s="123">
        <f t="shared" si="7"/>
        <v>6</v>
      </c>
      <c r="C111" s="124">
        <f t="shared" si="0"/>
        <v>0</v>
      </c>
      <c r="D111" s="124">
        <f t="shared" si="3"/>
        <v>0</v>
      </c>
      <c r="E111" s="124">
        <f t="shared" si="1"/>
        <v>0</v>
      </c>
      <c r="F111" s="124">
        <f t="shared" si="4"/>
        <v>0</v>
      </c>
      <c r="G111" s="124">
        <f t="shared" si="5"/>
        <v>0</v>
      </c>
      <c r="H111" s="125">
        <f t="shared" si="2"/>
        <v>0</v>
      </c>
      <c r="I111" s="126">
        <f t="shared" si="6"/>
        <v>0.66634222381651254</v>
      </c>
      <c r="K111" s="2"/>
    </row>
    <row r="112" spans="1:11" x14ac:dyDescent="0.25">
      <c r="A112" s="117"/>
      <c r="B112" s="123">
        <f t="shared" si="7"/>
        <v>7</v>
      </c>
      <c r="C112" s="124">
        <f t="shared" si="0"/>
        <v>0</v>
      </c>
      <c r="D112" s="124">
        <f t="shared" si="3"/>
        <v>0</v>
      </c>
      <c r="E112" s="124">
        <f t="shared" si="1"/>
        <v>0</v>
      </c>
      <c r="F112" s="124">
        <f t="shared" si="4"/>
        <v>0</v>
      </c>
      <c r="G112" s="124">
        <f t="shared" si="5"/>
        <v>0</v>
      </c>
      <c r="H112" s="125">
        <f t="shared" si="2"/>
        <v>0</v>
      </c>
      <c r="I112" s="126">
        <f t="shared" si="6"/>
        <v>0.62274974188459109</v>
      </c>
      <c r="K112" s="2"/>
    </row>
    <row r="113" spans="1:11" x14ac:dyDescent="0.25">
      <c r="A113" s="117"/>
      <c r="B113" s="123">
        <f t="shared" si="7"/>
        <v>8</v>
      </c>
      <c r="C113" s="124">
        <f t="shared" si="0"/>
        <v>0</v>
      </c>
      <c r="D113" s="124">
        <f t="shared" si="3"/>
        <v>0</v>
      </c>
      <c r="E113" s="124">
        <f t="shared" si="1"/>
        <v>0</v>
      </c>
      <c r="F113" s="124">
        <f t="shared" si="4"/>
        <v>0</v>
      </c>
      <c r="G113" s="124">
        <f t="shared" si="5"/>
        <v>0</v>
      </c>
      <c r="H113" s="125">
        <f t="shared" si="2"/>
        <v>0</v>
      </c>
      <c r="I113" s="126">
        <f t="shared" si="6"/>
        <v>0.5820091045650384</v>
      </c>
      <c r="K113" s="2"/>
    </row>
    <row r="114" spans="1:11" x14ac:dyDescent="0.25">
      <c r="A114" s="117"/>
      <c r="B114" s="123">
        <f t="shared" si="7"/>
        <v>9</v>
      </c>
      <c r="C114" s="124">
        <f t="shared" si="0"/>
        <v>0</v>
      </c>
      <c r="D114" s="124">
        <f t="shared" si="3"/>
        <v>0</v>
      </c>
      <c r="E114" s="124">
        <f t="shared" si="1"/>
        <v>0</v>
      </c>
      <c r="F114" s="124">
        <f t="shared" si="4"/>
        <v>0</v>
      </c>
      <c r="G114" s="124">
        <f t="shared" si="5"/>
        <v>0</v>
      </c>
      <c r="H114" s="125">
        <f t="shared" si="2"/>
        <v>0</v>
      </c>
      <c r="I114" s="126">
        <f t="shared" si="6"/>
        <v>0.54393374258414806</v>
      </c>
      <c r="K114" s="2"/>
    </row>
    <row r="115" spans="1:11" x14ac:dyDescent="0.25">
      <c r="A115" s="117"/>
      <c r="B115" s="123">
        <f t="shared" si="7"/>
        <v>10</v>
      </c>
      <c r="C115" s="124">
        <f t="shared" si="0"/>
        <v>0</v>
      </c>
      <c r="D115" s="124">
        <f t="shared" si="3"/>
        <v>0</v>
      </c>
      <c r="E115" s="124">
        <f>D117*(1-F$13)</f>
        <v>0</v>
      </c>
      <c r="F115" s="124">
        <f t="shared" si="4"/>
        <v>0</v>
      </c>
      <c r="G115" s="124">
        <f t="shared" si="5"/>
        <v>0</v>
      </c>
      <c r="H115" s="125">
        <f t="shared" si="2"/>
        <v>0</v>
      </c>
      <c r="I115" s="126">
        <f t="shared" si="6"/>
        <v>0.5083492921347178</v>
      </c>
      <c r="K115" s="2"/>
    </row>
    <row r="116" spans="1:11" x14ac:dyDescent="0.25">
      <c r="A116" s="117"/>
      <c r="B116" s="123"/>
      <c r="C116" s="124"/>
      <c r="D116" s="124"/>
      <c r="E116" s="124"/>
      <c r="F116" s="124"/>
      <c r="G116" s="124"/>
      <c r="H116" s="125"/>
      <c r="I116" s="126"/>
      <c r="K116" s="2"/>
    </row>
    <row r="117" spans="1:11" x14ac:dyDescent="0.25">
      <c r="A117" s="117"/>
      <c r="B117" s="120" t="s">
        <v>35</v>
      </c>
      <c r="C117" s="112"/>
      <c r="D117" s="112"/>
      <c r="E117" s="112"/>
      <c r="F117" s="112"/>
      <c r="G117" s="112"/>
      <c r="H117" s="112"/>
      <c r="I117" s="113"/>
    </row>
    <row r="118" spans="1:11" x14ac:dyDescent="0.25">
      <c r="A118" s="117"/>
      <c r="B118" s="122" t="s">
        <v>31</v>
      </c>
      <c r="C118" s="112"/>
      <c r="D118" s="112"/>
      <c r="E118" s="112"/>
      <c r="F118" s="112"/>
      <c r="G118" s="112"/>
      <c r="H118" s="112"/>
      <c r="I118" s="113"/>
    </row>
    <row r="119" spans="1:11" x14ac:dyDescent="0.25">
      <c r="A119" s="117"/>
      <c r="B119" s="123">
        <v>0</v>
      </c>
      <c r="C119" s="124">
        <f t="shared" ref="C119:C129" si="8">IF(B119=H$12,H$11*(1-H$13),0)</f>
        <v>0</v>
      </c>
      <c r="D119" s="124">
        <f>H8</f>
        <v>5200</v>
      </c>
      <c r="E119" s="124">
        <f t="shared" ref="E119:E129" si="9">D120*(1-H$13)</f>
        <v>4351.05</v>
      </c>
      <c r="F119" s="124">
        <v>0</v>
      </c>
      <c r="G119" s="124">
        <v>0</v>
      </c>
      <c r="H119" s="125">
        <f t="shared" ref="H119:H129" si="10">IF(B119&lt;H$12,1/H$12,0)</f>
        <v>0.25</v>
      </c>
      <c r="I119" s="126">
        <f t="shared" ref="I119:I129" si="11">1/(1+H$14)^B119</f>
        <v>1</v>
      </c>
    </row>
    <row r="120" spans="1:11" x14ac:dyDescent="0.25">
      <c r="A120" s="117"/>
      <c r="B120" s="123">
        <f t="shared" ref="B120:B129" si="12">+B119+1</f>
        <v>1</v>
      </c>
      <c r="C120" s="124">
        <f t="shared" si="8"/>
        <v>0</v>
      </c>
      <c r="D120" s="124">
        <f t="shared" ref="D120:D129" si="13">IF(B120&lt;=H$12,D119-(D$119-MAX(C$119:C$129)/(1-H$13))/H$12,0)</f>
        <v>4395</v>
      </c>
      <c r="E120" s="124">
        <f t="shared" si="9"/>
        <v>3554.1</v>
      </c>
      <c r="F120" s="124">
        <f t="shared" ref="F120:F129" si="14">D$119*H120</f>
        <v>1300</v>
      </c>
      <c r="G120" s="124">
        <f t="shared" ref="G120:G129" si="15">IF(B120&lt;=H$12,H$11*(1-H$13),0)</f>
        <v>1960.2000000000003</v>
      </c>
      <c r="H120" s="125">
        <f t="shared" si="10"/>
        <v>0.25</v>
      </c>
      <c r="I120" s="126">
        <f t="shared" si="11"/>
        <v>0.93457943925233644</v>
      </c>
    </row>
    <row r="121" spans="1:11" x14ac:dyDescent="0.25">
      <c r="A121" s="117"/>
      <c r="B121" s="123">
        <f t="shared" si="12"/>
        <v>2</v>
      </c>
      <c r="C121" s="124">
        <f t="shared" si="8"/>
        <v>0</v>
      </c>
      <c r="D121" s="124">
        <f t="shared" si="13"/>
        <v>3590</v>
      </c>
      <c r="E121" s="124">
        <f t="shared" si="9"/>
        <v>2757.15</v>
      </c>
      <c r="F121" s="124">
        <f t="shared" si="14"/>
        <v>1300</v>
      </c>
      <c r="G121" s="124">
        <f t="shared" si="15"/>
        <v>1960.2000000000003</v>
      </c>
      <c r="H121" s="125">
        <f t="shared" si="10"/>
        <v>0.25</v>
      </c>
      <c r="I121" s="126">
        <f t="shared" si="11"/>
        <v>0.87343872827321156</v>
      </c>
    </row>
    <row r="122" spans="1:11" x14ac:dyDescent="0.25">
      <c r="A122" s="117"/>
      <c r="B122" s="123">
        <f t="shared" si="12"/>
        <v>3</v>
      </c>
      <c r="C122" s="124">
        <f t="shared" si="8"/>
        <v>0</v>
      </c>
      <c r="D122" s="124">
        <f t="shared" si="13"/>
        <v>2785</v>
      </c>
      <c r="E122" s="124">
        <f t="shared" si="9"/>
        <v>1960.2</v>
      </c>
      <c r="F122" s="124">
        <f t="shared" si="14"/>
        <v>1300</v>
      </c>
      <c r="G122" s="124">
        <f t="shared" si="15"/>
        <v>1960.2000000000003</v>
      </c>
      <c r="H122" s="125">
        <f t="shared" si="10"/>
        <v>0.25</v>
      </c>
      <c r="I122" s="126">
        <f t="shared" si="11"/>
        <v>0.81629787689085187</v>
      </c>
    </row>
    <row r="123" spans="1:11" x14ac:dyDescent="0.25">
      <c r="A123" s="117"/>
      <c r="B123" s="123">
        <f t="shared" si="12"/>
        <v>4</v>
      </c>
      <c r="C123" s="124">
        <f t="shared" si="8"/>
        <v>1960.2000000000003</v>
      </c>
      <c r="D123" s="124">
        <f t="shared" si="13"/>
        <v>1980</v>
      </c>
      <c r="E123" s="124">
        <f t="shared" si="9"/>
        <v>0</v>
      </c>
      <c r="F123" s="124">
        <f t="shared" si="14"/>
        <v>0</v>
      </c>
      <c r="G123" s="124">
        <f t="shared" si="15"/>
        <v>1960.2000000000003</v>
      </c>
      <c r="H123" s="125">
        <f t="shared" si="10"/>
        <v>0</v>
      </c>
      <c r="I123" s="126">
        <f t="shared" si="11"/>
        <v>0.7628952120475252</v>
      </c>
    </row>
    <row r="124" spans="1:11" x14ac:dyDescent="0.25">
      <c r="A124" s="117"/>
      <c r="B124" s="123">
        <f t="shared" si="12"/>
        <v>5</v>
      </c>
      <c r="C124" s="124">
        <f t="shared" si="8"/>
        <v>0</v>
      </c>
      <c r="D124" s="124">
        <f t="shared" si="13"/>
        <v>0</v>
      </c>
      <c r="E124" s="124">
        <f t="shared" si="9"/>
        <v>0</v>
      </c>
      <c r="F124" s="124">
        <f t="shared" si="14"/>
        <v>0</v>
      </c>
      <c r="G124" s="124">
        <f t="shared" si="15"/>
        <v>0</v>
      </c>
      <c r="H124" s="125">
        <f t="shared" si="10"/>
        <v>0</v>
      </c>
      <c r="I124" s="126">
        <f t="shared" si="11"/>
        <v>0.71298617948366838</v>
      </c>
    </row>
    <row r="125" spans="1:11" x14ac:dyDescent="0.25">
      <c r="A125" s="117"/>
      <c r="B125" s="123">
        <f t="shared" si="12"/>
        <v>6</v>
      </c>
      <c r="C125" s="124">
        <f t="shared" si="8"/>
        <v>0</v>
      </c>
      <c r="D125" s="124">
        <f t="shared" si="13"/>
        <v>0</v>
      </c>
      <c r="E125" s="124">
        <f t="shared" si="9"/>
        <v>0</v>
      </c>
      <c r="F125" s="124">
        <f t="shared" si="14"/>
        <v>0</v>
      </c>
      <c r="G125" s="124">
        <f t="shared" si="15"/>
        <v>0</v>
      </c>
      <c r="H125" s="125">
        <f t="shared" si="10"/>
        <v>0</v>
      </c>
      <c r="I125" s="126">
        <f t="shared" si="11"/>
        <v>0.66634222381651254</v>
      </c>
    </row>
    <row r="126" spans="1:11" x14ac:dyDescent="0.25">
      <c r="A126" s="117"/>
      <c r="B126" s="123">
        <f t="shared" si="12"/>
        <v>7</v>
      </c>
      <c r="C126" s="124">
        <f t="shared" si="8"/>
        <v>0</v>
      </c>
      <c r="D126" s="124">
        <f t="shared" si="13"/>
        <v>0</v>
      </c>
      <c r="E126" s="124">
        <f t="shared" si="9"/>
        <v>0</v>
      </c>
      <c r="F126" s="124">
        <f t="shared" si="14"/>
        <v>0</v>
      </c>
      <c r="G126" s="124">
        <f t="shared" si="15"/>
        <v>0</v>
      </c>
      <c r="H126" s="125">
        <f t="shared" si="10"/>
        <v>0</v>
      </c>
      <c r="I126" s="126">
        <f t="shared" si="11"/>
        <v>0.62274974188459109</v>
      </c>
    </row>
    <row r="127" spans="1:11" x14ac:dyDescent="0.25">
      <c r="A127" s="117"/>
      <c r="B127" s="123">
        <f t="shared" si="12"/>
        <v>8</v>
      </c>
      <c r="C127" s="124">
        <f t="shared" si="8"/>
        <v>0</v>
      </c>
      <c r="D127" s="124">
        <f t="shared" si="13"/>
        <v>0</v>
      </c>
      <c r="E127" s="124">
        <f t="shared" si="9"/>
        <v>0</v>
      </c>
      <c r="F127" s="124">
        <f t="shared" si="14"/>
        <v>0</v>
      </c>
      <c r="G127" s="124">
        <f t="shared" si="15"/>
        <v>0</v>
      </c>
      <c r="H127" s="125">
        <f t="shared" si="10"/>
        <v>0</v>
      </c>
      <c r="I127" s="126">
        <f t="shared" si="11"/>
        <v>0.5820091045650384</v>
      </c>
    </row>
    <row r="128" spans="1:11" x14ac:dyDescent="0.25">
      <c r="A128" s="117"/>
      <c r="B128" s="123">
        <f t="shared" si="12"/>
        <v>9</v>
      </c>
      <c r="C128" s="124">
        <f t="shared" si="8"/>
        <v>0</v>
      </c>
      <c r="D128" s="124">
        <f t="shared" si="13"/>
        <v>0</v>
      </c>
      <c r="E128" s="124">
        <f t="shared" si="9"/>
        <v>0</v>
      </c>
      <c r="F128" s="124">
        <f t="shared" si="14"/>
        <v>0</v>
      </c>
      <c r="G128" s="124">
        <f t="shared" si="15"/>
        <v>0</v>
      </c>
      <c r="H128" s="125">
        <f t="shared" si="10"/>
        <v>0</v>
      </c>
      <c r="I128" s="126">
        <f t="shared" si="11"/>
        <v>0.54393374258414806</v>
      </c>
    </row>
    <row r="129" spans="1:9" x14ac:dyDescent="0.25">
      <c r="A129" s="117"/>
      <c r="B129" s="123">
        <f t="shared" si="12"/>
        <v>10</v>
      </c>
      <c r="C129" s="124">
        <f t="shared" si="8"/>
        <v>0</v>
      </c>
      <c r="D129" s="124">
        <f t="shared" si="13"/>
        <v>0</v>
      </c>
      <c r="E129" s="124">
        <f t="shared" si="9"/>
        <v>0</v>
      </c>
      <c r="F129" s="124">
        <f t="shared" si="14"/>
        <v>0</v>
      </c>
      <c r="G129" s="124">
        <f t="shared" si="15"/>
        <v>0</v>
      </c>
      <c r="H129" s="125">
        <f t="shared" si="10"/>
        <v>0</v>
      </c>
      <c r="I129" s="126">
        <f t="shared" si="11"/>
        <v>0.5083492921347178</v>
      </c>
    </row>
    <row r="130" spans="1:9" ht="15.75" thickBot="1" x14ac:dyDescent="0.3">
      <c r="A130" s="117"/>
      <c r="B130" s="127"/>
      <c r="C130" s="128"/>
      <c r="D130" s="128"/>
      <c r="E130" s="128"/>
      <c r="F130" s="128"/>
      <c r="G130" s="128"/>
      <c r="H130" s="128"/>
      <c r="I130" s="129"/>
    </row>
  </sheetData>
  <sheetProtection algorithmName="SHA-512" hashValue="OhnBAmYniVwBep5pc2E5afAVYSmeEvTw76YbJ72OS0Mfo+LHnph3fHsINTi7scstK8VM5ewXoWCE+V0GfZdk/w==" saltValue="KAvpJOuceD2EnHRdth8zoQ==" spinCount="100000" sheet="1" objects="1" scenarios="1"/>
  <mergeCells count="27">
    <mergeCell ref="B6:H6"/>
    <mergeCell ref="B36:H36"/>
    <mergeCell ref="B8:D8"/>
    <mergeCell ref="B9:D9"/>
    <mergeCell ref="B10:D10"/>
    <mergeCell ref="B11:D11"/>
    <mergeCell ref="B12:D12"/>
    <mergeCell ref="B13:D13"/>
    <mergeCell ref="B14:D14"/>
    <mergeCell ref="B15:D15"/>
    <mergeCell ref="B16:D16"/>
    <mergeCell ref="B17:D17"/>
    <mergeCell ref="B20:D20"/>
    <mergeCell ref="B21:D21"/>
    <mergeCell ref="B22:D22"/>
    <mergeCell ref="B23:D23"/>
    <mergeCell ref="B24:D24"/>
    <mergeCell ref="B27:D27"/>
    <mergeCell ref="B28:D28"/>
    <mergeCell ref="B38:D38"/>
    <mergeCell ref="B37:D37"/>
    <mergeCell ref="B40:D40"/>
    <mergeCell ref="B29:D29"/>
    <mergeCell ref="B30:D30"/>
    <mergeCell ref="B32:D32"/>
    <mergeCell ref="B33:D33"/>
    <mergeCell ref="B34:D34"/>
  </mergeCells>
  <phoneticPr fontId="2" type="noConversion"/>
  <pageMargins left="0.75" right="0.75" top="1" bottom="1" header="0.5" footer="0.5"/>
  <pageSetup orientation="landscape" r:id="rId1"/>
  <headerFooter alignWithMargins="0"/>
  <ignoredErrors>
    <ignoredError sqref="H11" formula="1"/>
    <ignoredError sqref="H10 H12:H13"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44"/>
  <sheetViews>
    <sheetView workbookViewId="0"/>
  </sheetViews>
  <sheetFormatPr defaultColWidth="9.140625" defaultRowHeight="15" x14ac:dyDescent="0.25"/>
  <cols>
    <col min="1" max="1" width="6.7109375" style="2" customWidth="1"/>
    <col min="2" max="2" width="28.7109375" style="2" customWidth="1"/>
    <col min="3" max="7" width="10.140625" style="2" customWidth="1"/>
    <col min="8" max="16384" width="9.140625" style="2"/>
  </cols>
  <sheetData>
    <row r="1" spans="1:8" x14ac:dyDescent="0.25">
      <c r="A1" s="52"/>
      <c r="B1" s="52"/>
      <c r="C1" s="52"/>
      <c r="D1" s="52"/>
      <c r="E1" s="52"/>
      <c r="F1" s="52"/>
      <c r="G1" s="52"/>
      <c r="H1" s="52"/>
    </row>
    <row r="2" spans="1:8" ht="15.75" x14ac:dyDescent="0.25">
      <c r="A2" s="52"/>
      <c r="B2" s="135" t="s">
        <v>40</v>
      </c>
      <c r="C2" s="52"/>
      <c r="D2" s="52"/>
      <c r="E2" s="52"/>
      <c r="F2" s="52"/>
      <c r="G2" s="52"/>
      <c r="H2" s="52"/>
    </row>
    <row r="3" spans="1:8" ht="15.75" thickBot="1" x14ac:dyDescent="0.3">
      <c r="A3" s="52"/>
      <c r="B3" s="58"/>
      <c r="C3" s="58"/>
      <c r="D3" s="59"/>
      <c r="E3" s="58"/>
      <c r="F3" s="58"/>
      <c r="G3" s="58"/>
      <c r="H3" s="52"/>
    </row>
    <row r="4" spans="1:8" x14ac:dyDescent="0.25">
      <c r="A4" s="52"/>
      <c r="B4" s="4" t="s">
        <v>57</v>
      </c>
      <c r="C4" s="5"/>
      <c r="D4" s="6"/>
      <c r="E4" s="5"/>
      <c r="F4" s="5"/>
      <c r="G4" s="5"/>
      <c r="H4" s="52"/>
    </row>
    <row r="5" spans="1:8" x14ac:dyDescent="0.25">
      <c r="A5" s="52"/>
      <c r="B5" s="7" t="s">
        <v>49</v>
      </c>
      <c r="C5" s="8">
        <v>10</v>
      </c>
      <c r="D5" s="1" t="s">
        <v>48</v>
      </c>
      <c r="E5" s="9">
        <v>18</v>
      </c>
      <c r="F5" s="1" t="s">
        <v>16</v>
      </c>
      <c r="G5" s="10">
        <f>C5*E5</f>
        <v>180</v>
      </c>
      <c r="H5" s="52"/>
    </row>
    <row r="6" spans="1:8" ht="9.9499999999999993" customHeight="1" x14ac:dyDescent="0.25">
      <c r="A6" s="52"/>
      <c r="B6" s="1"/>
      <c r="C6" s="1"/>
      <c r="D6" s="1"/>
      <c r="E6" s="1"/>
      <c r="F6" s="1"/>
      <c r="G6" s="1"/>
      <c r="H6" s="52"/>
    </row>
    <row r="7" spans="1:8" x14ac:dyDescent="0.25">
      <c r="A7" s="52"/>
      <c r="B7" s="7" t="s">
        <v>17</v>
      </c>
      <c r="C7" s="1"/>
      <c r="D7" s="11" t="s">
        <v>18</v>
      </c>
      <c r="E7" s="11" t="s">
        <v>19</v>
      </c>
      <c r="F7" s="11" t="s">
        <v>20</v>
      </c>
      <c r="G7" s="1"/>
      <c r="H7" s="52"/>
    </row>
    <row r="8" spans="1:8" x14ac:dyDescent="0.25">
      <c r="A8" s="52"/>
      <c r="B8" s="12" t="s">
        <v>22</v>
      </c>
      <c r="C8" s="1"/>
      <c r="D8" s="13">
        <v>60</v>
      </c>
      <c r="E8" s="13">
        <v>36</v>
      </c>
      <c r="F8" s="9">
        <v>30</v>
      </c>
      <c r="G8" s="10">
        <f>D8*E8*F8/2000</f>
        <v>32.4</v>
      </c>
      <c r="H8" s="52"/>
    </row>
    <row r="9" spans="1:8" x14ac:dyDescent="0.25">
      <c r="A9" s="52"/>
      <c r="B9" s="12" t="s">
        <v>11</v>
      </c>
      <c r="C9" s="1"/>
      <c r="D9" s="13">
        <v>120</v>
      </c>
      <c r="E9" s="13">
        <v>40</v>
      </c>
      <c r="F9" s="9">
        <v>100</v>
      </c>
      <c r="G9" s="10">
        <f>D9*E9*F9/2000</f>
        <v>240</v>
      </c>
      <c r="H9" s="52"/>
    </row>
    <row r="10" spans="1:8" x14ac:dyDescent="0.25">
      <c r="A10" s="52"/>
      <c r="B10" s="12" t="s">
        <v>63</v>
      </c>
      <c r="C10" s="1"/>
      <c r="D10" s="13">
        <v>0</v>
      </c>
      <c r="E10" s="13">
        <v>0</v>
      </c>
      <c r="F10" s="9">
        <v>0</v>
      </c>
      <c r="G10" s="10">
        <f>D10*E10*F10/2000</f>
        <v>0</v>
      </c>
      <c r="H10" s="52"/>
    </row>
    <row r="11" spans="1:8" x14ac:dyDescent="0.25">
      <c r="A11" s="52"/>
      <c r="B11" s="12" t="s">
        <v>15</v>
      </c>
      <c r="C11" s="1"/>
      <c r="D11" s="13">
        <v>30</v>
      </c>
      <c r="E11" s="13">
        <v>1</v>
      </c>
      <c r="F11" s="9">
        <v>350</v>
      </c>
      <c r="G11" s="10">
        <f>D11*E11*F11/2000</f>
        <v>5.25</v>
      </c>
      <c r="H11" s="52"/>
    </row>
    <row r="12" spans="1:8" x14ac:dyDescent="0.25">
      <c r="A12" s="52"/>
      <c r="B12" s="12" t="s">
        <v>14</v>
      </c>
      <c r="C12" s="1"/>
      <c r="D12" s="13">
        <v>365</v>
      </c>
      <c r="E12" s="13">
        <v>0.2</v>
      </c>
      <c r="F12" s="9">
        <v>550</v>
      </c>
      <c r="G12" s="10">
        <f>D12*E12*F12/2000</f>
        <v>20.074999999999999</v>
      </c>
      <c r="H12" s="52"/>
    </row>
    <row r="13" spans="1:8" x14ac:dyDescent="0.25">
      <c r="A13" s="52"/>
      <c r="B13" s="14" t="s">
        <v>21</v>
      </c>
      <c r="C13" s="15"/>
      <c r="D13" s="15"/>
      <c r="E13" s="15"/>
      <c r="F13" s="15"/>
      <c r="G13" s="16">
        <f>SUM(G8:G12)</f>
        <v>297.72499999999997</v>
      </c>
      <c r="H13" s="52"/>
    </row>
    <row r="14" spans="1:8" x14ac:dyDescent="0.25">
      <c r="A14" s="52"/>
      <c r="B14" s="1" t="s">
        <v>23</v>
      </c>
      <c r="C14" s="1"/>
      <c r="D14" s="1"/>
      <c r="E14" s="1"/>
      <c r="F14" s="1"/>
      <c r="G14" s="17">
        <f>G5+G13</f>
        <v>477.72499999999997</v>
      </c>
      <c r="H14" s="52"/>
    </row>
    <row r="15" spans="1:8" ht="9.9499999999999993" customHeight="1" x14ac:dyDescent="0.25">
      <c r="A15" s="52"/>
      <c r="B15" s="1"/>
      <c r="C15" s="1"/>
      <c r="D15" s="1"/>
      <c r="E15" s="1"/>
      <c r="F15" s="1"/>
      <c r="G15" s="1"/>
      <c r="H15" s="52"/>
    </row>
    <row r="16" spans="1:8" x14ac:dyDescent="0.25">
      <c r="A16" s="52"/>
      <c r="B16" s="18" t="s">
        <v>56</v>
      </c>
      <c r="C16" s="1"/>
      <c r="D16" s="1"/>
      <c r="E16" s="1"/>
      <c r="F16" s="1"/>
      <c r="G16" s="1"/>
      <c r="H16" s="52"/>
    </row>
    <row r="17" spans="1:8" x14ac:dyDescent="0.25">
      <c r="A17" s="52"/>
      <c r="B17" s="7" t="s">
        <v>12</v>
      </c>
      <c r="C17" s="13">
        <v>5</v>
      </c>
      <c r="D17" s="1" t="s">
        <v>25</v>
      </c>
      <c r="E17" s="9">
        <v>15</v>
      </c>
      <c r="F17" s="1" t="s">
        <v>24</v>
      </c>
      <c r="G17" s="10">
        <f>C17*E17</f>
        <v>75</v>
      </c>
      <c r="H17" s="52"/>
    </row>
    <row r="18" spans="1:8" x14ac:dyDescent="0.25">
      <c r="A18" s="52"/>
      <c r="B18" s="7" t="s">
        <v>29</v>
      </c>
      <c r="C18" s="1"/>
      <c r="D18" s="1"/>
      <c r="E18" s="1"/>
      <c r="F18" s="1"/>
      <c r="G18" s="19">
        <v>12</v>
      </c>
      <c r="H18" s="52"/>
    </row>
    <row r="19" spans="1:8" x14ac:dyDescent="0.25">
      <c r="A19" s="52"/>
      <c r="B19" s="7" t="s">
        <v>100</v>
      </c>
      <c r="C19" s="1"/>
      <c r="D19" s="1"/>
      <c r="E19" s="1"/>
      <c r="F19" s="1"/>
      <c r="G19" s="19">
        <v>50</v>
      </c>
      <c r="H19" s="52"/>
    </row>
    <row r="20" spans="1:8" x14ac:dyDescent="0.25">
      <c r="A20" s="52"/>
      <c r="B20" s="7" t="s">
        <v>27</v>
      </c>
      <c r="C20" s="1"/>
      <c r="D20" s="1"/>
      <c r="E20" s="1"/>
      <c r="F20" s="1"/>
      <c r="G20" s="19">
        <v>40</v>
      </c>
      <c r="H20" s="52"/>
    </row>
    <row r="21" spans="1:8" x14ac:dyDescent="0.25">
      <c r="A21" s="52"/>
      <c r="B21" s="7" t="s">
        <v>28</v>
      </c>
      <c r="C21" s="1"/>
      <c r="D21" s="1"/>
      <c r="E21" s="1"/>
      <c r="F21" s="1"/>
      <c r="G21" s="19">
        <v>35</v>
      </c>
      <c r="H21" s="52"/>
    </row>
    <row r="22" spans="1:8" x14ac:dyDescent="0.25">
      <c r="A22" s="52"/>
      <c r="B22" s="7" t="s">
        <v>59</v>
      </c>
      <c r="C22" s="1"/>
      <c r="D22" s="1"/>
      <c r="E22" s="1"/>
      <c r="F22" s="1"/>
      <c r="G22" s="19">
        <v>10</v>
      </c>
      <c r="H22" s="52"/>
    </row>
    <row r="23" spans="1:8" x14ac:dyDescent="0.25">
      <c r="A23" s="52"/>
      <c r="B23" s="7" t="s">
        <v>51</v>
      </c>
      <c r="C23" s="1"/>
      <c r="D23" s="1"/>
      <c r="E23" s="1"/>
      <c r="F23" s="1"/>
      <c r="G23" s="10">
        <f>SUM(G14:G22)/2*Comparison!F14</f>
        <v>24.490375</v>
      </c>
      <c r="H23" s="52"/>
    </row>
    <row r="24" spans="1:8" x14ac:dyDescent="0.25">
      <c r="A24" s="52"/>
      <c r="B24" s="20" t="s">
        <v>50</v>
      </c>
      <c r="C24" s="20"/>
      <c r="D24" s="20"/>
      <c r="E24" s="20"/>
      <c r="F24" s="20"/>
      <c r="G24" s="21">
        <f>SUM(G17:G23)</f>
        <v>246.490375</v>
      </c>
      <c r="H24" s="52"/>
    </row>
    <row r="25" spans="1:8" ht="9.9499999999999993" customHeight="1" x14ac:dyDescent="0.25">
      <c r="A25" s="52"/>
      <c r="B25" s="1"/>
      <c r="C25" s="1"/>
      <c r="D25" s="1"/>
      <c r="E25" s="1"/>
      <c r="F25" s="1"/>
      <c r="G25" s="10"/>
      <c r="H25" s="52"/>
    </row>
    <row r="26" spans="1:8" x14ac:dyDescent="0.25">
      <c r="A26" s="52"/>
      <c r="B26" s="18" t="s">
        <v>60</v>
      </c>
      <c r="C26" s="1"/>
      <c r="D26" s="1"/>
      <c r="E26" s="1"/>
      <c r="F26" s="1"/>
      <c r="G26" s="10"/>
      <c r="H26" s="52"/>
    </row>
    <row r="27" spans="1:8" x14ac:dyDescent="0.25">
      <c r="A27" s="52"/>
      <c r="B27" s="7" t="s">
        <v>52</v>
      </c>
      <c r="C27" s="1"/>
      <c r="D27" s="1"/>
      <c r="E27" s="1"/>
      <c r="F27" s="1"/>
      <c r="G27" s="10">
        <f>D38*(1-D40)/D39+F38*(1-F40)/F39</f>
        <v>32.186</v>
      </c>
      <c r="H27" s="52"/>
    </row>
    <row r="28" spans="1:8" x14ac:dyDescent="0.25">
      <c r="A28" s="52"/>
      <c r="B28" s="7" t="s">
        <v>13</v>
      </c>
      <c r="C28" s="1"/>
      <c r="D28" s="1"/>
      <c r="E28" s="1"/>
      <c r="F28" s="1"/>
      <c r="G28" s="10">
        <f>D38*D41+F38*F41</f>
        <v>15.9366</v>
      </c>
      <c r="H28" s="52"/>
    </row>
    <row r="29" spans="1:8" x14ac:dyDescent="0.25">
      <c r="A29" s="52"/>
      <c r="B29" s="7" t="s">
        <v>53</v>
      </c>
      <c r="C29" s="1"/>
      <c r="D29" s="1"/>
      <c r="E29" s="1"/>
      <c r="F29" s="1"/>
      <c r="G29" s="10">
        <f>D38*D42+F38*F42</f>
        <v>1.2731750000000002</v>
      </c>
      <c r="H29" s="52"/>
    </row>
    <row r="30" spans="1:8" x14ac:dyDescent="0.25">
      <c r="A30" s="52"/>
      <c r="B30" s="20" t="s">
        <v>54</v>
      </c>
      <c r="C30" s="20"/>
      <c r="D30" s="20"/>
      <c r="E30" s="20"/>
      <c r="F30" s="20"/>
      <c r="G30" s="21">
        <f>SUM(G27:G28)</f>
        <v>48.122599999999998</v>
      </c>
      <c r="H30" s="52"/>
    </row>
    <row r="31" spans="1:8" ht="9.9499999999999993" customHeight="1" x14ac:dyDescent="0.25">
      <c r="A31" s="52"/>
      <c r="B31" s="1"/>
      <c r="C31" s="1"/>
      <c r="D31" s="1"/>
      <c r="E31" s="1"/>
      <c r="F31" s="1"/>
      <c r="G31" s="10"/>
      <c r="H31" s="52"/>
    </row>
    <row r="32" spans="1:8" ht="15.75" thickBot="1" x14ac:dyDescent="0.3">
      <c r="A32" s="52"/>
      <c r="B32" s="22" t="s">
        <v>55</v>
      </c>
      <c r="C32" s="22"/>
      <c r="D32" s="22"/>
      <c r="E32" s="22"/>
      <c r="F32" s="22"/>
      <c r="G32" s="23">
        <f>G14+G24+G30</f>
        <v>772.33797500000003</v>
      </c>
      <c r="H32" s="52"/>
    </row>
    <row r="33" spans="1:8" x14ac:dyDescent="0.25">
      <c r="A33" s="52"/>
      <c r="B33" s="52"/>
      <c r="C33" s="52"/>
      <c r="D33" s="52"/>
      <c r="E33" s="52"/>
      <c r="F33" s="52"/>
      <c r="G33" s="52"/>
      <c r="H33" s="52"/>
    </row>
    <row r="34" spans="1:8" x14ac:dyDescent="0.25">
      <c r="A34" s="52"/>
      <c r="B34" s="52"/>
      <c r="C34" s="52"/>
      <c r="D34" s="52"/>
      <c r="E34" s="52"/>
      <c r="F34" s="52"/>
      <c r="G34" s="52"/>
      <c r="H34" s="52"/>
    </row>
    <row r="35" spans="1:8" ht="15.75" thickBot="1" x14ac:dyDescent="0.3">
      <c r="A35" s="52"/>
      <c r="B35" s="52"/>
      <c r="C35" s="52"/>
      <c r="D35" s="52"/>
      <c r="E35" s="52"/>
      <c r="F35" s="52"/>
      <c r="G35" s="52"/>
      <c r="H35" s="52"/>
    </row>
    <row r="36" spans="1:8" x14ac:dyDescent="0.25">
      <c r="A36" s="52"/>
      <c r="B36" s="24" t="s">
        <v>58</v>
      </c>
      <c r="C36" s="25"/>
      <c r="D36" s="25"/>
      <c r="E36" s="25"/>
      <c r="F36" s="25"/>
      <c r="G36" s="25"/>
      <c r="H36" s="52"/>
    </row>
    <row r="37" spans="1:8" x14ac:dyDescent="0.25">
      <c r="A37" s="52"/>
      <c r="B37" s="15"/>
      <c r="C37" s="15"/>
      <c r="D37" s="26" t="s">
        <v>47</v>
      </c>
      <c r="E37" s="15"/>
      <c r="F37" s="26" t="s">
        <v>44</v>
      </c>
      <c r="G37" s="16"/>
      <c r="H37" s="52"/>
    </row>
    <row r="38" spans="1:8" x14ac:dyDescent="0.25">
      <c r="A38" s="52"/>
      <c r="B38" s="7" t="s">
        <v>45</v>
      </c>
      <c r="C38" s="1"/>
      <c r="D38" s="9">
        <v>40.61</v>
      </c>
      <c r="E38" s="1"/>
      <c r="F38" s="9">
        <v>225</v>
      </c>
      <c r="G38" s="10"/>
      <c r="H38" s="52"/>
    </row>
    <row r="39" spans="1:8" x14ac:dyDescent="0.25">
      <c r="A39" s="52"/>
      <c r="B39" s="7" t="s">
        <v>46</v>
      </c>
      <c r="C39" s="1"/>
      <c r="D39" s="13">
        <v>10</v>
      </c>
      <c r="E39" s="1"/>
      <c r="F39" s="13">
        <v>8</v>
      </c>
      <c r="G39" s="10"/>
      <c r="H39" s="52"/>
    </row>
    <row r="40" spans="1:8" x14ac:dyDescent="0.25">
      <c r="A40" s="52"/>
      <c r="B40" s="7" t="s">
        <v>42</v>
      </c>
      <c r="C40" s="1"/>
      <c r="D40" s="27">
        <v>0</v>
      </c>
      <c r="E40" s="1"/>
      <c r="F40" s="27">
        <v>0</v>
      </c>
      <c r="G40" s="10"/>
      <c r="H40" s="52"/>
    </row>
    <row r="41" spans="1:8" x14ac:dyDescent="0.25">
      <c r="A41" s="52"/>
      <c r="B41" s="7" t="s">
        <v>10</v>
      </c>
      <c r="C41" s="1"/>
      <c r="D41" s="27">
        <v>0.06</v>
      </c>
      <c r="E41" s="1"/>
      <c r="F41" s="27">
        <v>0.06</v>
      </c>
      <c r="G41" s="10"/>
      <c r="H41" s="52"/>
    </row>
    <row r="42" spans="1:8" ht="15.75" thickBot="1" x14ac:dyDescent="0.3">
      <c r="A42" s="52"/>
      <c r="B42" s="28" t="s">
        <v>43</v>
      </c>
      <c r="C42" s="3"/>
      <c r="D42" s="29">
        <v>1.7500000000000002E-2</v>
      </c>
      <c r="E42" s="3"/>
      <c r="F42" s="29">
        <v>2.5000000000000001E-3</v>
      </c>
      <c r="G42" s="30"/>
      <c r="H42" s="52"/>
    </row>
    <row r="43" spans="1:8" x14ac:dyDescent="0.25">
      <c r="A43" s="52"/>
      <c r="B43" s="52"/>
      <c r="C43" s="52"/>
      <c r="D43" s="52"/>
      <c r="E43" s="52"/>
      <c r="F43" s="52"/>
      <c r="G43" s="52"/>
      <c r="H43" s="52"/>
    </row>
    <row r="44" spans="1:8" x14ac:dyDescent="0.25">
      <c r="A44" s="52"/>
      <c r="B44" s="52"/>
      <c r="C44" s="52"/>
      <c r="D44" s="52"/>
      <c r="E44" s="52"/>
      <c r="F44" s="52"/>
      <c r="G44" s="52"/>
      <c r="H44" s="52"/>
    </row>
  </sheetData>
  <sheetProtection algorithmName="SHA-512" hashValue="HNLcAoMrdlvrdGa4xlo8nrDaHyVSA28CbGgcgwIa4P9FeHnu5JrJohMlijGx/5uCZKCekM7QYSkEMwn7Eu4R4g==" saltValue="H3OWAEY6QP9xm586Tz80mA==" spinCount="100000" sheet="1" objects="1" scenarios="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3"/>
  <sheetViews>
    <sheetView workbookViewId="0"/>
  </sheetViews>
  <sheetFormatPr defaultColWidth="9.140625" defaultRowHeight="15" x14ac:dyDescent="0.25"/>
  <cols>
    <col min="1" max="1" width="6.7109375" style="2" customWidth="1"/>
    <col min="2" max="2" width="28.7109375" style="2" customWidth="1"/>
    <col min="3" max="7" width="10.140625" style="2" customWidth="1"/>
    <col min="8" max="16384" width="9.140625" style="2"/>
  </cols>
  <sheetData>
    <row r="1" spans="1:8" x14ac:dyDescent="0.25">
      <c r="A1" s="52"/>
      <c r="B1" s="52"/>
      <c r="C1" s="52"/>
      <c r="D1" s="52"/>
      <c r="E1" s="52"/>
      <c r="F1" s="52"/>
      <c r="G1" s="52"/>
      <c r="H1" s="52"/>
    </row>
    <row r="2" spans="1:8" ht="15.75" x14ac:dyDescent="0.25">
      <c r="A2" s="52"/>
      <c r="B2" s="135" t="s">
        <v>78</v>
      </c>
      <c r="C2" s="52"/>
      <c r="D2" s="52"/>
      <c r="E2" s="52"/>
      <c r="F2" s="52"/>
      <c r="G2" s="52"/>
      <c r="H2" s="52"/>
    </row>
    <row r="3" spans="1:8" ht="15.75" thickBot="1" x14ac:dyDescent="0.3">
      <c r="A3" s="52"/>
      <c r="B3" s="58"/>
      <c r="C3" s="58"/>
      <c r="D3" s="59"/>
      <c r="E3" s="58"/>
      <c r="F3" s="58"/>
      <c r="G3" s="58"/>
      <c r="H3" s="52"/>
    </row>
    <row r="4" spans="1:8" x14ac:dyDescent="0.25">
      <c r="A4" s="52"/>
      <c r="B4" s="4"/>
      <c r="C4" s="5"/>
      <c r="D4" s="11" t="s">
        <v>76</v>
      </c>
      <c r="E4" s="11" t="s">
        <v>77</v>
      </c>
      <c r="F4" s="5"/>
      <c r="G4" s="5"/>
      <c r="H4" s="52"/>
    </row>
    <row r="5" spans="1:8" x14ac:dyDescent="0.25">
      <c r="A5" s="52"/>
      <c r="B5" s="7" t="s">
        <v>79</v>
      </c>
      <c r="C5" s="1"/>
      <c r="D5" s="1"/>
      <c r="E5" s="1"/>
      <c r="F5" s="11"/>
      <c r="G5" s="1"/>
      <c r="H5" s="52"/>
    </row>
    <row r="6" spans="1:8" x14ac:dyDescent="0.25">
      <c r="A6" s="52"/>
      <c r="B6" s="131" t="s">
        <v>72</v>
      </c>
      <c r="C6" s="1"/>
      <c r="D6" s="13">
        <v>1</v>
      </c>
      <c r="E6" s="9">
        <v>11.5</v>
      </c>
      <c r="F6" s="134"/>
      <c r="G6" s="10">
        <f>D6*E6</f>
        <v>11.5</v>
      </c>
      <c r="H6" s="52"/>
    </row>
    <row r="7" spans="1:8" x14ac:dyDescent="0.25">
      <c r="A7" s="52"/>
      <c r="B7" s="131" t="s">
        <v>73</v>
      </c>
      <c r="C7" s="1"/>
      <c r="D7" s="13">
        <v>2</v>
      </c>
      <c r="E7" s="9">
        <v>3</v>
      </c>
      <c r="F7" s="134"/>
      <c r="G7" s="10">
        <f>D7*E7</f>
        <v>6</v>
      </c>
      <c r="H7" s="52"/>
    </row>
    <row r="8" spans="1:8" x14ac:dyDescent="0.25">
      <c r="A8" s="52"/>
      <c r="B8" s="131" t="s">
        <v>74</v>
      </c>
      <c r="C8" s="1"/>
      <c r="D8" s="13">
        <v>1</v>
      </c>
      <c r="E8" s="9">
        <v>3</v>
      </c>
      <c r="F8" s="134"/>
      <c r="G8" s="10">
        <f>D8*E8</f>
        <v>3</v>
      </c>
      <c r="H8" s="52"/>
    </row>
    <row r="9" spans="1:8" x14ac:dyDescent="0.25">
      <c r="A9" s="52"/>
      <c r="B9" s="131" t="s">
        <v>75</v>
      </c>
      <c r="C9" s="1"/>
      <c r="D9" s="13">
        <v>0</v>
      </c>
      <c r="E9" s="9">
        <v>0</v>
      </c>
      <c r="F9" s="134"/>
      <c r="G9" s="10">
        <f>D9*E9</f>
        <v>0</v>
      </c>
      <c r="H9" s="52"/>
    </row>
    <row r="10" spans="1:8" x14ac:dyDescent="0.25">
      <c r="A10" s="52"/>
      <c r="B10" s="131" t="s">
        <v>75</v>
      </c>
      <c r="C10" s="1"/>
      <c r="D10" s="13">
        <v>0</v>
      </c>
      <c r="E10" s="9">
        <v>0</v>
      </c>
      <c r="F10" s="134"/>
      <c r="G10" s="10">
        <f>D10*E10</f>
        <v>0</v>
      </c>
      <c r="H10" s="52"/>
    </row>
    <row r="11" spans="1:8" x14ac:dyDescent="0.25">
      <c r="A11" s="52"/>
      <c r="B11" s="32" t="s">
        <v>21</v>
      </c>
      <c r="C11" s="20"/>
      <c r="D11" s="20"/>
      <c r="E11" s="20"/>
      <c r="F11" s="20"/>
      <c r="G11" s="21">
        <f>SUM(G6:G10)</f>
        <v>20.5</v>
      </c>
      <c r="H11" s="52"/>
    </row>
    <row r="12" spans="1:8" x14ac:dyDescent="0.25">
      <c r="A12" s="52"/>
      <c r="B12" s="1"/>
      <c r="C12" s="1"/>
      <c r="D12" s="1"/>
      <c r="E12" s="1"/>
      <c r="F12" s="1"/>
      <c r="G12" s="1"/>
      <c r="H12" s="52"/>
    </row>
    <row r="13" spans="1:8" x14ac:dyDescent="0.25">
      <c r="A13" s="52"/>
      <c r="B13" s="7" t="s">
        <v>80</v>
      </c>
      <c r="C13" s="1"/>
      <c r="D13" s="13">
        <v>1</v>
      </c>
      <c r="E13" s="9">
        <v>28</v>
      </c>
      <c r="F13" s="134"/>
      <c r="G13" s="10">
        <f>D13*E13</f>
        <v>28</v>
      </c>
      <c r="H13" s="52"/>
    </row>
    <row r="14" spans="1:8" x14ac:dyDescent="0.25">
      <c r="A14" s="52"/>
      <c r="B14" s="31"/>
      <c r="C14" s="1"/>
      <c r="D14" s="133"/>
      <c r="E14" s="134"/>
      <c r="F14" s="134"/>
      <c r="G14" s="10"/>
      <c r="H14" s="52"/>
    </row>
    <row r="15" spans="1:8" x14ac:dyDescent="0.25">
      <c r="A15" s="52"/>
      <c r="B15" s="132" t="s">
        <v>101</v>
      </c>
      <c r="C15" s="133"/>
      <c r="D15" s="137">
        <v>1</v>
      </c>
      <c r="E15" s="9">
        <v>8</v>
      </c>
      <c r="F15" s="134"/>
      <c r="G15" s="10">
        <f>D15*E15</f>
        <v>8</v>
      </c>
      <c r="H15" s="52"/>
    </row>
    <row r="16" spans="1:8" x14ac:dyDescent="0.25">
      <c r="A16" s="52"/>
      <c r="B16" s="132" t="s">
        <v>102</v>
      </c>
      <c r="C16" s="1"/>
      <c r="D16" s="13">
        <v>3</v>
      </c>
      <c r="E16" s="9">
        <v>1.5</v>
      </c>
      <c r="F16" s="134"/>
      <c r="G16" s="10">
        <f>D16*E16</f>
        <v>4.5</v>
      </c>
      <c r="H16" s="52"/>
    </row>
    <row r="17" spans="1:8" x14ac:dyDescent="0.25">
      <c r="A17" s="52"/>
      <c r="B17" s="132" t="s">
        <v>75</v>
      </c>
      <c r="C17" s="1"/>
      <c r="D17" s="13">
        <v>0</v>
      </c>
      <c r="E17" s="9">
        <v>0</v>
      </c>
      <c r="F17" s="134"/>
      <c r="G17" s="10">
        <f>D17*E17</f>
        <v>0</v>
      </c>
      <c r="H17" s="52"/>
    </row>
    <row r="18" spans="1:8" x14ac:dyDescent="0.25">
      <c r="A18" s="52"/>
      <c r="B18" s="132" t="s">
        <v>75</v>
      </c>
      <c r="C18" s="1"/>
      <c r="D18" s="13">
        <v>0</v>
      </c>
      <c r="E18" s="9">
        <v>0</v>
      </c>
      <c r="F18" s="134"/>
      <c r="G18" s="10">
        <f>D18*E18</f>
        <v>0</v>
      </c>
      <c r="H18" s="52"/>
    </row>
    <row r="19" spans="1:8" x14ac:dyDescent="0.25">
      <c r="A19" s="52"/>
      <c r="B19" s="32" t="s">
        <v>21</v>
      </c>
      <c r="C19" s="20"/>
      <c r="D19" s="20"/>
      <c r="E19" s="20"/>
      <c r="F19" s="20"/>
      <c r="G19" s="21">
        <f>SUM(G15:G18)</f>
        <v>12.5</v>
      </c>
      <c r="H19" s="52"/>
    </row>
    <row r="20" spans="1:8" x14ac:dyDescent="0.25">
      <c r="A20" s="52"/>
      <c r="B20" s="1"/>
      <c r="C20" s="1"/>
      <c r="D20" s="1"/>
      <c r="E20" s="1"/>
      <c r="F20" s="1"/>
      <c r="G20" s="10"/>
      <c r="H20" s="52"/>
    </row>
    <row r="21" spans="1:8" ht="15.75" thickBot="1" x14ac:dyDescent="0.3">
      <c r="A21" s="52"/>
      <c r="B21" s="22" t="s">
        <v>81</v>
      </c>
      <c r="C21" s="22"/>
      <c r="D21" s="22"/>
      <c r="E21" s="22"/>
      <c r="F21" s="22"/>
      <c r="G21" s="23">
        <f>G11+G13+G19</f>
        <v>61</v>
      </c>
      <c r="H21" s="52"/>
    </row>
    <row r="22" spans="1:8" x14ac:dyDescent="0.25">
      <c r="A22" s="52"/>
      <c r="B22" s="52"/>
      <c r="C22" s="52"/>
      <c r="D22" s="52"/>
      <c r="E22" s="52"/>
      <c r="F22" s="52"/>
      <c r="G22" s="52"/>
      <c r="H22" s="52"/>
    </row>
    <row r="23" spans="1:8" x14ac:dyDescent="0.25">
      <c r="A23" s="52"/>
      <c r="B23" s="52"/>
      <c r="C23" s="52"/>
      <c r="D23" s="52"/>
      <c r="E23" s="52"/>
      <c r="F23" s="52"/>
      <c r="G23" s="52"/>
      <c r="H23" s="52"/>
    </row>
  </sheetData>
  <sheetProtection algorithmName="SHA-512" hashValue="NOr6sy1g8HKuYlU1xhe2Gyll6AvrQqU8+qMm1xb4wdUZm77Ws2NdXu2Mpz2bqCeRZ13cdV+/cHDk0r7XawuWTA==" saltValue="7dzhb9O4eWjC4ubsi0IrVw==" spinCount="100000" sheet="1" objects="1" scenarios="1"/>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
  <sheetViews>
    <sheetView workbookViewId="0">
      <selection activeCell="K22" sqref="K22"/>
    </sheetView>
  </sheetViews>
  <sheetFormatPr defaultColWidth="9.140625" defaultRowHeight="15" x14ac:dyDescent="0.25"/>
  <cols>
    <col min="1" max="16384" width="9.140625" style="130"/>
  </cols>
  <sheetData>
    <row r="2" spans="2:2" x14ac:dyDescent="0.25">
      <c r="B2" s="136" t="s">
        <v>85</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vt:lpstr>
      <vt:lpstr>Comparison</vt:lpstr>
      <vt:lpstr>Bull carrying cost details</vt:lpstr>
      <vt:lpstr>AI cost details</vt:lpstr>
      <vt:lpstr>Notes</vt:lpstr>
      <vt:lpstr>Intro!Print_Area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 Vogel</dc:creator>
  <cp:lastModifiedBy>robinreid</cp:lastModifiedBy>
  <cp:lastPrinted>2012-04-13T15:31:51Z</cp:lastPrinted>
  <dcterms:created xsi:type="dcterms:W3CDTF">2012-02-22T20:24:47Z</dcterms:created>
  <dcterms:modified xsi:type="dcterms:W3CDTF">2016-05-31T17:25:38Z</dcterms:modified>
</cp:coreProperties>
</file>