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robinreid\Documents\Decision Tool Updates\For New AgManager\Ready to Post\"/>
    </mc:Choice>
  </mc:AlternateContent>
  <bookViews>
    <workbookView xWindow="0" yWindow="0" windowWidth="20730" windowHeight="11760"/>
  </bookViews>
  <sheets>
    <sheet name="Beef Repl" sheetId="7" r:id="rId1"/>
    <sheet name="Prices and weights" sheetId="4" r:id="rId2"/>
    <sheet name="Net present value" sheetId="3" r:id="rId3"/>
    <sheet name="Sensitivity Table" sheetId="6" r:id="rId4"/>
  </sheets>
  <externalReferences>
    <externalReference r:id="rId5"/>
    <externalReference r:id="rId6"/>
  </externalReferences>
  <definedNames>
    <definedName name="data">[1]kcd!$B$10:$AZ$1374</definedName>
    <definedName name="Prices" localSheetId="3">'[2]Prices and weights'!$B$7:$H$16</definedName>
    <definedName name="Prices">'Prices and weights'!$B$7:$H$16</definedName>
    <definedName name="_xlnm.Print_Area" localSheetId="0">'Beef Repl'!$A$1:$M$55</definedName>
    <definedName name="weights" localSheetId="3">'[2]Prices and weights'!$J$7:$M$16</definedName>
    <definedName name="weights">'Prices and weights'!$J$7:$M$16</definedName>
    <definedName name="Z_7F8F69BA_F1D1_4483_B535_1A9BCCCC12B7_.wvu.PrintArea" localSheetId="0" hidden="1">'Beef Repl'!$B$2:$L$48</definedName>
    <definedName name="Z_7F8F69BA_F1D1_4483_B535_1A9BCCCC12B7_.wvu.Rows" localSheetId="0" hidden="1">'Beef Repl'!#REF!</definedName>
  </definedNames>
  <calcPr calcId="152511"/>
</workbook>
</file>

<file path=xl/calcChain.xml><?xml version="1.0" encoding="utf-8"?>
<calcChain xmlns="http://schemas.openxmlformats.org/spreadsheetml/2006/main">
  <c r="L8" i="4" l="1"/>
  <c r="B8" i="6" l="1"/>
  <c r="C8" i="6"/>
  <c r="B9" i="6"/>
  <c r="C9" i="6"/>
  <c r="B10" i="6"/>
  <c r="C10" i="6"/>
  <c r="B11" i="6"/>
  <c r="C11" i="6"/>
  <c r="B12" i="6"/>
  <c r="C12" i="6"/>
  <c r="B13" i="6"/>
  <c r="C13" i="6"/>
  <c r="B14" i="6"/>
  <c r="C14" i="6"/>
  <c r="B15" i="6"/>
  <c r="C15" i="6"/>
  <c r="B16" i="6"/>
  <c r="C16" i="6"/>
  <c r="B17" i="6"/>
  <c r="C17" i="6"/>
  <c r="D20" i="6"/>
  <c r="E20" i="6"/>
  <c r="F20" i="6"/>
  <c r="G20" i="6"/>
  <c r="D21" i="6"/>
  <c r="E21" i="6"/>
  <c r="G21" i="6"/>
  <c r="C22" i="6"/>
  <c r="C23" i="6"/>
  <c r="G23" i="6"/>
  <c r="C24" i="6"/>
  <c r="C25" i="6"/>
  <c r="C26" i="6"/>
  <c r="C27" i="6"/>
  <c r="G27" i="6"/>
  <c r="C28" i="6"/>
  <c r="C29" i="6"/>
  <c r="C30" i="6"/>
  <c r="C31" i="6"/>
  <c r="G31" i="6"/>
  <c r="B8" i="3"/>
  <c r="AJ11" i="3"/>
  <c r="R12" i="3"/>
  <c r="S12" i="3"/>
  <c r="T12" i="3"/>
  <c r="U12" i="3"/>
  <c r="V12" i="3"/>
  <c r="X12" i="3"/>
  <c r="Y12" i="3"/>
  <c r="Z12" i="3"/>
  <c r="AA12" i="3"/>
  <c r="AB12" i="3"/>
  <c r="AD12" i="3"/>
  <c r="AE12" i="3"/>
  <c r="AF12" i="3"/>
  <c r="AG12" i="3"/>
  <c r="AH12" i="3"/>
  <c r="B14" i="3"/>
  <c r="C14" i="3"/>
  <c r="D14" i="3"/>
  <c r="E14" i="3"/>
  <c r="F14" i="3" s="1"/>
  <c r="G14" i="3"/>
  <c r="J14" i="3" s="1"/>
  <c r="I14" i="3"/>
  <c r="K14" i="3"/>
  <c r="N14" i="3"/>
  <c r="R14" i="3"/>
  <c r="S14" i="3"/>
  <c r="T14" i="3"/>
  <c r="U14" i="3"/>
  <c r="V14" i="3"/>
  <c r="X14" i="3"/>
  <c r="Y14" i="3"/>
  <c r="Z14" i="3"/>
  <c r="AA14" i="3"/>
  <c r="AB14" i="3"/>
  <c r="AJ14" i="3"/>
  <c r="AM14" i="3"/>
  <c r="G22" i="6" s="1"/>
  <c r="AN14" i="3"/>
  <c r="AP14" i="3" s="1"/>
  <c r="AQ14" i="3"/>
  <c r="B15" i="3"/>
  <c r="C15" i="3"/>
  <c r="D15" i="3"/>
  <c r="E15" i="3"/>
  <c r="F15" i="3"/>
  <c r="D23" i="6" s="1"/>
  <c r="E23" i="6" s="1"/>
  <c r="F23" i="6" s="1"/>
  <c r="G15" i="3"/>
  <c r="H15" i="3"/>
  <c r="K15" i="3"/>
  <c r="N15" i="3"/>
  <c r="R15" i="3"/>
  <c r="S15" i="3"/>
  <c r="T15" i="3"/>
  <c r="U15" i="3"/>
  <c r="V15" i="3"/>
  <c r="X15" i="3"/>
  <c r="Y15" i="3"/>
  <c r="Z15" i="3"/>
  <c r="AA15" i="3"/>
  <c r="AB15" i="3"/>
  <c r="AJ15" i="3"/>
  <c r="AM15" i="3"/>
  <c r="AO15" i="3" s="1"/>
  <c r="B16" i="3"/>
  <c r="C16" i="3"/>
  <c r="D16" i="3"/>
  <c r="E16" i="3"/>
  <c r="H16" i="3" s="1"/>
  <c r="M16" i="3" s="1"/>
  <c r="F16" i="3"/>
  <c r="G16" i="3"/>
  <c r="I16" i="3"/>
  <c r="J16" i="3"/>
  <c r="K16" i="3"/>
  <c r="N16" i="3"/>
  <c r="R16" i="3"/>
  <c r="S16" i="3"/>
  <c r="T16" i="3"/>
  <c r="U16" i="3"/>
  <c r="V16" i="3"/>
  <c r="X16" i="3"/>
  <c r="Y16" i="3"/>
  <c r="Z16" i="3"/>
  <c r="AA16" i="3"/>
  <c r="AB16" i="3"/>
  <c r="AE16" i="3"/>
  <c r="AJ16" i="3"/>
  <c r="AN16" i="3"/>
  <c r="AP16" i="3" s="1"/>
  <c r="B17" i="3"/>
  <c r="C17" i="3"/>
  <c r="D17" i="3"/>
  <c r="E17" i="3"/>
  <c r="G17" i="3"/>
  <c r="I17" i="3"/>
  <c r="J17" i="3"/>
  <c r="K17" i="3"/>
  <c r="N17" i="3"/>
  <c r="R17" i="3"/>
  <c r="S17" i="3"/>
  <c r="T17" i="3"/>
  <c r="U17" i="3"/>
  <c r="V17" i="3"/>
  <c r="X17" i="3"/>
  <c r="Y17" i="3"/>
  <c r="Z17" i="3"/>
  <c r="AA17" i="3"/>
  <c r="AB17" i="3"/>
  <c r="AJ17" i="3"/>
  <c r="AN17" i="3"/>
  <c r="B18" i="3"/>
  <c r="C18" i="3"/>
  <c r="D18" i="3"/>
  <c r="E18" i="3"/>
  <c r="F18" i="3" s="1"/>
  <c r="G18" i="3"/>
  <c r="J18" i="3" s="1"/>
  <c r="I18" i="3"/>
  <c r="K18" i="3"/>
  <c r="N18" i="3"/>
  <c r="R18" i="3"/>
  <c r="S18" i="3"/>
  <c r="T18" i="3"/>
  <c r="U18" i="3"/>
  <c r="V18" i="3"/>
  <c r="X18" i="3"/>
  <c r="Y18" i="3"/>
  <c r="Z18" i="3"/>
  <c r="AA18" i="3"/>
  <c r="AB18" i="3"/>
  <c r="AG18" i="3"/>
  <c r="AJ18" i="3"/>
  <c r="AM18" i="3"/>
  <c r="G26" i="6" s="1"/>
  <c r="AN18" i="3"/>
  <c r="AP18" i="3" s="1"/>
  <c r="AQ18" i="3"/>
  <c r="B19" i="3"/>
  <c r="C19" i="3"/>
  <c r="D19" i="3"/>
  <c r="E19" i="3"/>
  <c r="F19" i="3"/>
  <c r="D27" i="6" s="1"/>
  <c r="E27" i="6" s="1"/>
  <c r="F27" i="6" s="1"/>
  <c r="G19" i="3"/>
  <c r="H19" i="3"/>
  <c r="K19" i="3"/>
  <c r="N19" i="3"/>
  <c r="R19" i="3"/>
  <c r="S19" i="3"/>
  <c r="T19" i="3"/>
  <c r="U19" i="3"/>
  <c r="V19" i="3"/>
  <c r="X19" i="3"/>
  <c r="Y19" i="3"/>
  <c r="Z19" i="3"/>
  <c r="AA19" i="3"/>
  <c r="AB19" i="3"/>
  <c r="AF19" i="3"/>
  <c r="AJ19" i="3"/>
  <c r="AM19" i="3"/>
  <c r="AO19" i="3" s="1"/>
  <c r="B20" i="3"/>
  <c r="C20" i="3"/>
  <c r="D20" i="3"/>
  <c r="E20" i="3"/>
  <c r="H20" i="3" s="1"/>
  <c r="M20" i="3" s="1"/>
  <c r="F20" i="3"/>
  <c r="AE20" i="3" s="1"/>
  <c r="G20" i="3"/>
  <c r="I20" i="3"/>
  <c r="J20" i="3"/>
  <c r="K20" i="3"/>
  <c r="N20" i="3"/>
  <c r="R20" i="3"/>
  <c r="S20" i="3"/>
  <c r="T20" i="3"/>
  <c r="U20" i="3"/>
  <c r="V20" i="3"/>
  <c r="X20" i="3"/>
  <c r="Y20" i="3"/>
  <c r="Z20" i="3"/>
  <c r="AA20" i="3"/>
  <c r="AB20" i="3"/>
  <c r="AJ20" i="3"/>
  <c r="AN20" i="3"/>
  <c r="AP20" i="3" s="1"/>
  <c r="B21" i="3"/>
  <c r="C21" i="3"/>
  <c r="D21" i="3"/>
  <c r="E21" i="3"/>
  <c r="G21" i="3"/>
  <c r="I21" i="3"/>
  <c r="J21" i="3"/>
  <c r="K21" i="3"/>
  <c r="N21" i="3"/>
  <c r="R21" i="3"/>
  <c r="S21" i="3"/>
  <c r="T21" i="3"/>
  <c r="U21" i="3"/>
  <c r="V21" i="3"/>
  <c r="X21" i="3"/>
  <c r="Y21" i="3"/>
  <c r="Z21" i="3"/>
  <c r="AA21" i="3"/>
  <c r="AB21" i="3"/>
  <c r="AJ21" i="3"/>
  <c r="AN21" i="3"/>
  <c r="B22" i="3"/>
  <c r="C22" i="3"/>
  <c r="D22" i="3"/>
  <c r="E22" i="3"/>
  <c r="F22" i="3" s="1"/>
  <c r="D30" i="6" s="1"/>
  <c r="E30" i="6" s="1"/>
  <c r="F30" i="6" s="1"/>
  <c r="G22" i="3"/>
  <c r="J22" i="3" s="1"/>
  <c r="H22" i="3"/>
  <c r="M22" i="3" s="1"/>
  <c r="I22" i="3"/>
  <c r="K22" i="3"/>
  <c r="N22" i="3"/>
  <c r="R22" i="3"/>
  <c r="S22" i="3"/>
  <c r="T22" i="3"/>
  <c r="U22" i="3"/>
  <c r="V22" i="3"/>
  <c r="X22" i="3"/>
  <c r="Y22" i="3"/>
  <c r="Z22" i="3"/>
  <c r="AA22" i="3"/>
  <c r="AB22" i="3"/>
  <c r="AD22" i="3"/>
  <c r="AG22" i="3"/>
  <c r="AJ22" i="3"/>
  <c r="AM22" i="3"/>
  <c r="G30" i="6" s="1"/>
  <c r="AN22" i="3"/>
  <c r="AP22" i="3" s="1"/>
  <c r="B23" i="3"/>
  <c r="C23" i="3"/>
  <c r="D23" i="3"/>
  <c r="E23" i="3"/>
  <c r="F23" i="3"/>
  <c r="D31" i="6" s="1"/>
  <c r="E31" i="6" s="1"/>
  <c r="F31" i="6" s="1"/>
  <c r="G23" i="3"/>
  <c r="I23" i="3" s="1"/>
  <c r="J23" i="3"/>
  <c r="K23" i="3"/>
  <c r="N23" i="3"/>
  <c r="R23" i="3"/>
  <c r="S23" i="3"/>
  <c r="T23" i="3"/>
  <c r="U23" i="3"/>
  <c r="V23" i="3"/>
  <c r="X23" i="3"/>
  <c r="Y23" i="3"/>
  <c r="Z23" i="3"/>
  <c r="AA23" i="3"/>
  <c r="AB23" i="3"/>
  <c r="AJ23" i="3"/>
  <c r="AM23" i="3"/>
  <c r="AN23" i="3"/>
  <c r="AQ23" i="3" s="1"/>
  <c r="AO23" i="3"/>
  <c r="AR23" i="3" s="1"/>
  <c r="AP23" i="3"/>
  <c r="E24" i="3"/>
  <c r="D33" i="3"/>
  <c r="E33" i="3"/>
  <c r="F33" i="3"/>
  <c r="G33" i="3"/>
  <c r="H33" i="3"/>
  <c r="B35" i="3"/>
  <c r="C35" i="3"/>
  <c r="B36" i="3"/>
  <c r="C36" i="3"/>
  <c r="B37" i="3"/>
  <c r="C37" i="3"/>
  <c r="B38" i="3"/>
  <c r="C38" i="3"/>
  <c r="B39" i="3"/>
  <c r="C39" i="3"/>
  <c r="B40" i="3"/>
  <c r="C40" i="3"/>
  <c r="B41" i="3"/>
  <c r="C41" i="3"/>
  <c r="B42" i="3"/>
  <c r="C42" i="3"/>
  <c r="B43" i="3"/>
  <c r="C43" i="3"/>
  <c r="B44" i="3"/>
  <c r="C44" i="3"/>
  <c r="H46" i="3"/>
  <c r="D50" i="3"/>
  <c r="E50" i="3"/>
  <c r="F50" i="3"/>
  <c r="G50" i="3"/>
  <c r="H50" i="3"/>
  <c r="C51" i="3"/>
  <c r="C52" i="3"/>
  <c r="C53" i="3"/>
  <c r="D59" i="3"/>
  <c r="E59" i="3"/>
  <c r="F59" i="3"/>
  <c r="G59" i="3"/>
  <c r="H59" i="3"/>
  <c r="B61" i="3"/>
  <c r="C61" i="3"/>
  <c r="B62" i="3"/>
  <c r="C62" i="3"/>
  <c r="B63" i="3"/>
  <c r="C63" i="3"/>
  <c r="B64" i="3"/>
  <c r="C64" i="3"/>
  <c r="B65" i="3"/>
  <c r="C65" i="3"/>
  <c r="B66" i="3"/>
  <c r="C66" i="3"/>
  <c r="B67" i="3"/>
  <c r="C67" i="3"/>
  <c r="B68" i="3"/>
  <c r="C68" i="3"/>
  <c r="B69" i="3"/>
  <c r="C69" i="3"/>
  <c r="B70" i="3"/>
  <c r="C70" i="3"/>
  <c r="D76" i="3"/>
  <c r="E76" i="3"/>
  <c r="F76" i="3"/>
  <c r="G76" i="3"/>
  <c r="H76" i="3"/>
  <c r="C77" i="3"/>
  <c r="C78" i="3"/>
  <c r="C79" i="3"/>
  <c r="B7" i="4"/>
  <c r="D7" i="4"/>
  <c r="E7" i="4"/>
  <c r="F7" i="4"/>
  <c r="G7" i="4"/>
  <c r="H7" i="4"/>
  <c r="B8" i="4"/>
  <c r="D8" i="4"/>
  <c r="E8" i="4"/>
  <c r="F8" i="4"/>
  <c r="G8" i="4"/>
  <c r="H8" i="4"/>
  <c r="B9" i="4"/>
  <c r="D9" i="4"/>
  <c r="E9" i="4"/>
  <c r="F9" i="4"/>
  <c r="G9" i="4"/>
  <c r="H9" i="4"/>
  <c r="L9" i="4"/>
  <c r="B10" i="4"/>
  <c r="D10" i="4"/>
  <c r="E10" i="4"/>
  <c r="F10" i="4"/>
  <c r="G10" i="4"/>
  <c r="H10" i="4"/>
  <c r="L10" i="4"/>
  <c r="B11" i="4"/>
  <c r="D11" i="4"/>
  <c r="E11" i="4"/>
  <c r="F11" i="4"/>
  <c r="G11" i="4"/>
  <c r="H11" i="4"/>
  <c r="L11" i="4"/>
  <c r="B12" i="4"/>
  <c r="D12" i="4"/>
  <c r="E12" i="4"/>
  <c r="F12" i="4"/>
  <c r="G12" i="4"/>
  <c r="H12" i="4"/>
  <c r="L12" i="4"/>
  <c r="B13" i="4"/>
  <c r="D13" i="4"/>
  <c r="E13" i="4"/>
  <c r="F13" i="4"/>
  <c r="G13" i="4"/>
  <c r="H13" i="4"/>
  <c r="L13" i="4"/>
  <c r="B14" i="4"/>
  <c r="D14" i="4"/>
  <c r="E14" i="4"/>
  <c r="F14" i="4"/>
  <c r="G14" i="4"/>
  <c r="H14" i="4"/>
  <c r="L14" i="4"/>
  <c r="B15" i="4"/>
  <c r="D15" i="4"/>
  <c r="E15" i="4"/>
  <c r="F15" i="4"/>
  <c r="G15" i="4"/>
  <c r="H15" i="4"/>
  <c r="L15" i="4"/>
  <c r="B16" i="4"/>
  <c r="D16" i="4"/>
  <c r="E16" i="4"/>
  <c r="F16" i="4"/>
  <c r="G16" i="4"/>
  <c r="H16" i="4"/>
  <c r="L16" i="4"/>
  <c r="C17" i="4"/>
  <c r="D17" i="4"/>
  <c r="E17" i="4"/>
  <c r="F17" i="4"/>
  <c r="G17" i="4"/>
  <c r="H17" i="4"/>
  <c r="K17" i="4"/>
  <c r="L17" i="4"/>
  <c r="M17" i="4"/>
  <c r="AF23" i="3" l="1"/>
  <c r="AD14" i="3"/>
  <c r="AH14" i="3"/>
  <c r="AE23" i="3"/>
  <c r="AD18" i="3"/>
  <c r="AH18" i="3"/>
  <c r="F17" i="3"/>
  <c r="AE17" i="3" s="1"/>
  <c r="AF17" i="3"/>
  <c r="H17" i="3"/>
  <c r="M17" i="3" s="1"/>
  <c r="AM17" i="3"/>
  <c r="G25" i="6" s="1"/>
  <c r="AG15" i="3"/>
  <c r="I15" i="3"/>
  <c r="M15" i="3" s="1"/>
  <c r="AN15" i="3"/>
  <c r="J15" i="3"/>
  <c r="AE15" i="3"/>
  <c r="G24" i="3"/>
  <c r="AH23" i="3"/>
  <c r="AD23" i="3"/>
  <c r="H23" i="3"/>
  <c r="M23" i="3" s="1"/>
  <c r="AQ22" i="3"/>
  <c r="F21" i="3"/>
  <c r="AM21" i="3"/>
  <c r="G29" i="6" s="1"/>
  <c r="AG19" i="3"/>
  <c r="I19" i="3"/>
  <c r="M19" i="3" s="1"/>
  <c r="AN19" i="3"/>
  <c r="J19" i="3"/>
  <c r="AE19" i="3"/>
  <c r="AP17" i="3"/>
  <c r="AQ17" i="3"/>
  <c r="AF16" i="3"/>
  <c r="D24" i="6"/>
  <c r="E24" i="6" s="1"/>
  <c r="F24" i="6" s="1"/>
  <c r="AD16" i="3"/>
  <c r="AH16" i="3"/>
  <c r="H14" i="3"/>
  <c r="M14" i="3" s="1"/>
  <c r="G41" i="3"/>
  <c r="G52" i="3" s="1"/>
  <c r="AG23" i="3"/>
  <c r="AH22" i="3"/>
  <c r="AP21" i="3"/>
  <c r="AQ21" i="3"/>
  <c r="AF20" i="3"/>
  <c r="D28" i="6"/>
  <c r="E28" i="6" s="1"/>
  <c r="F28" i="6" s="1"/>
  <c r="AD20" i="3"/>
  <c r="AH20" i="3"/>
  <c r="H18" i="3"/>
  <c r="M18" i="3" s="1"/>
  <c r="E39" i="3" s="1"/>
  <c r="E12" i="6" s="1"/>
  <c r="AF15" i="3"/>
  <c r="AG14" i="3"/>
  <c r="D26" i="6"/>
  <c r="E26" i="6" s="1"/>
  <c r="F26" i="6" s="1"/>
  <c r="D22" i="6"/>
  <c r="E22" i="6" s="1"/>
  <c r="F22" i="6" s="1"/>
  <c r="AF22" i="3"/>
  <c r="AF18" i="3"/>
  <c r="AF14" i="3"/>
  <c r="AO22" i="3"/>
  <c r="AR22" i="3" s="1"/>
  <c r="AE22" i="3"/>
  <c r="AQ20" i="3"/>
  <c r="AM20" i="3"/>
  <c r="AG20" i="3"/>
  <c r="AH19" i="3"/>
  <c r="AD19" i="3"/>
  <c r="AO18" i="3"/>
  <c r="AR18" i="3" s="1"/>
  <c r="AE18" i="3"/>
  <c r="AQ16" i="3"/>
  <c r="AM16" i="3"/>
  <c r="AG16" i="3"/>
  <c r="AH15" i="3"/>
  <c r="AD15" i="3"/>
  <c r="AO14" i="3"/>
  <c r="AR14" i="3" s="1"/>
  <c r="AE14" i="3"/>
  <c r="D29" i="6" l="1"/>
  <c r="E29" i="6" s="1"/>
  <c r="F29" i="6" s="1"/>
  <c r="AD21" i="3"/>
  <c r="AH21" i="3"/>
  <c r="E62" i="3"/>
  <c r="E66" i="3"/>
  <c r="E61" i="3"/>
  <c r="E65" i="3"/>
  <c r="E64" i="3"/>
  <c r="E77" i="3" s="1"/>
  <c r="E63" i="3"/>
  <c r="E67" i="3"/>
  <c r="E78" i="3" s="1"/>
  <c r="F41" i="3"/>
  <c r="F52" i="3" s="1"/>
  <c r="G39" i="3"/>
  <c r="F63" i="3"/>
  <c r="F67" i="3"/>
  <c r="F78" i="3" s="1"/>
  <c r="F61" i="3"/>
  <c r="F65" i="3"/>
  <c r="F62" i="3"/>
  <c r="F66" i="3"/>
  <c r="F64" i="3"/>
  <c r="F77" i="3" s="1"/>
  <c r="F24" i="3"/>
  <c r="AF21" i="3"/>
  <c r="F68" i="3" s="1"/>
  <c r="AO17" i="3"/>
  <c r="AR17" i="3" s="1"/>
  <c r="H61" i="3"/>
  <c r="H63" i="3"/>
  <c r="H62" i="3"/>
  <c r="E41" i="3"/>
  <c r="AS14" i="3"/>
  <c r="G8" i="6" s="1"/>
  <c r="K8" i="6" s="1"/>
  <c r="N8" i="6" s="1"/>
  <c r="G24" i="6"/>
  <c r="AO16" i="3"/>
  <c r="AR16" i="3" s="1"/>
  <c r="G62" i="3"/>
  <c r="G63" i="3"/>
  <c r="G67" i="3"/>
  <c r="G78" i="3" s="1"/>
  <c r="G70" i="3"/>
  <c r="G79" i="3" s="1"/>
  <c r="G61" i="3"/>
  <c r="G65" i="3"/>
  <c r="H44" i="3"/>
  <c r="H53" i="3" s="1"/>
  <c r="AK16" i="3"/>
  <c r="F10" i="6" s="1"/>
  <c r="O17" i="3"/>
  <c r="D11" i="6" s="1"/>
  <c r="AK20" i="3"/>
  <c r="F14" i="6" s="1"/>
  <c r="J14" i="6" s="1"/>
  <c r="M14" i="6" s="1"/>
  <c r="O21" i="3"/>
  <c r="D15" i="6" s="1"/>
  <c r="O14" i="3"/>
  <c r="D8" i="6" s="1"/>
  <c r="AK17" i="3"/>
  <c r="F11" i="6" s="1"/>
  <c r="J11" i="6" s="1"/>
  <c r="M11" i="6" s="1"/>
  <c r="O18" i="3"/>
  <c r="D12" i="6" s="1"/>
  <c r="I12" i="6" s="1"/>
  <c r="L12" i="6" s="1"/>
  <c r="AK21" i="3"/>
  <c r="F15" i="6" s="1"/>
  <c r="J15" i="6" s="1"/>
  <c r="M15" i="6" s="1"/>
  <c r="AK14" i="3"/>
  <c r="F8" i="6" s="1"/>
  <c r="J8" i="6" s="1"/>
  <c r="M8" i="6" s="1"/>
  <c r="O15" i="3"/>
  <c r="D9" i="6" s="1"/>
  <c r="AK18" i="3"/>
  <c r="F12" i="6" s="1"/>
  <c r="J12" i="6" s="1"/>
  <c r="M12" i="6" s="1"/>
  <c r="O19" i="3"/>
  <c r="D13" i="6" s="1"/>
  <c r="G35" i="3"/>
  <c r="D36" i="3"/>
  <c r="H36" i="3"/>
  <c r="E37" i="3"/>
  <c r="E10" i="6" s="1"/>
  <c r="F38" i="3"/>
  <c r="F51" i="3" s="1"/>
  <c r="F42" i="3"/>
  <c r="O16" i="3"/>
  <c r="D10" i="6" s="1"/>
  <c r="H37" i="3"/>
  <c r="F39" i="3"/>
  <c r="H41" i="3"/>
  <c r="H52" i="3" s="1"/>
  <c r="D35" i="3"/>
  <c r="H35" i="3"/>
  <c r="E36" i="3"/>
  <c r="E9" i="6" s="1"/>
  <c r="F37" i="3"/>
  <c r="G38" i="3"/>
  <c r="G51" i="3" s="1"/>
  <c r="G42" i="3"/>
  <c r="H38" i="3"/>
  <c r="H51" i="3" s="1"/>
  <c r="AK15" i="3"/>
  <c r="F9" i="6" s="1"/>
  <c r="J9" i="6" s="1"/>
  <c r="M9" i="6" s="1"/>
  <c r="O23" i="3"/>
  <c r="D17" i="6" s="1"/>
  <c r="E35" i="3"/>
  <c r="E8" i="6" s="1"/>
  <c r="I8" i="6" s="1"/>
  <c r="L8" i="6" s="1"/>
  <c r="F36" i="3"/>
  <c r="G37" i="3"/>
  <c r="D38" i="3"/>
  <c r="D51" i="3" s="1"/>
  <c r="AK23" i="3"/>
  <c r="F17" i="6" s="1"/>
  <c r="F35" i="3"/>
  <c r="G36" i="3"/>
  <c r="D37" i="3"/>
  <c r="E38" i="3"/>
  <c r="D41" i="3"/>
  <c r="D52" i="3" s="1"/>
  <c r="E42" i="3"/>
  <c r="E15" i="6" s="1"/>
  <c r="D40" i="3"/>
  <c r="H40" i="3"/>
  <c r="AK19" i="3"/>
  <c r="F13" i="6" s="1"/>
  <c r="J13" i="6" s="1"/>
  <c r="M13" i="6" s="1"/>
  <c r="E40" i="3"/>
  <c r="E13" i="6" s="1"/>
  <c r="I13" i="6" s="1"/>
  <c r="L13" i="6" s="1"/>
  <c r="F40" i="3"/>
  <c r="G40" i="3"/>
  <c r="AO21" i="3"/>
  <c r="AR21" i="3" s="1"/>
  <c r="D39" i="3"/>
  <c r="H43" i="3"/>
  <c r="AQ15" i="3"/>
  <c r="AS15" i="3" s="1"/>
  <c r="G9" i="6" s="1"/>
  <c r="K9" i="6" s="1"/>
  <c r="N9" i="6" s="1"/>
  <c r="AP15" i="3"/>
  <c r="AR15" i="3" s="1"/>
  <c r="AS18" i="3" s="1"/>
  <c r="G12" i="6" s="1"/>
  <c r="K12" i="6" s="1"/>
  <c r="N12" i="6" s="1"/>
  <c r="AG17" i="3"/>
  <c r="G66" i="3" s="1"/>
  <c r="D61" i="3"/>
  <c r="D63" i="3"/>
  <c r="D62" i="3"/>
  <c r="G43" i="3"/>
  <c r="H21" i="3"/>
  <c r="M21" i="3" s="1"/>
  <c r="D43" i="3" s="1"/>
  <c r="G28" i="6"/>
  <c r="AO20" i="3"/>
  <c r="AR20" i="3" s="1"/>
  <c r="AS21" i="3" s="1"/>
  <c r="G15" i="6" s="1"/>
  <c r="K15" i="6" s="1"/>
  <c r="N15" i="6" s="1"/>
  <c r="AQ19" i="3"/>
  <c r="AS19" i="3" s="1"/>
  <c r="G13" i="6" s="1"/>
  <c r="K13" i="6" s="1"/>
  <c r="N13" i="6" s="1"/>
  <c r="AP19" i="3"/>
  <c r="AR19" i="3" s="1"/>
  <c r="AG21" i="3"/>
  <c r="G68" i="3" s="1"/>
  <c r="AE21" i="3"/>
  <c r="E68" i="3" s="1"/>
  <c r="H39" i="3"/>
  <c r="E44" i="3"/>
  <c r="D25" i="6"/>
  <c r="E25" i="6" s="1"/>
  <c r="F25" i="6" s="1"/>
  <c r="AD17" i="3"/>
  <c r="D69" i="3" s="1"/>
  <c r="AH17" i="3"/>
  <c r="H69" i="3" s="1"/>
  <c r="O20" i="3"/>
  <c r="D14" i="6" s="1"/>
  <c r="D44" i="3"/>
  <c r="D53" i="3" s="1"/>
  <c r="H68" i="3" l="1"/>
  <c r="D66" i="3"/>
  <c r="J17" i="6"/>
  <c r="M17" i="6" s="1"/>
  <c r="H64" i="3"/>
  <c r="H77" i="3" s="1"/>
  <c r="F70" i="3"/>
  <c r="F79" i="3" s="1"/>
  <c r="E69" i="3"/>
  <c r="E70" i="3"/>
  <c r="E79" i="3" s="1"/>
  <c r="D70" i="3"/>
  <c r="D79" i="3" s="1"/>
  <c r="D68" i="3"/>
  <c r="D65" i="3"/>
  <c r="H66" i="3"/>
  <c r="H65" i="3"/>
  <c r="F69" i="3"/>
  <c r="D64" i="3"/>
  <c r="D77" i="3" s="1"/>
  <c r="E11" i="6"/>
  <c r="I11" i="6" s="1"/>
  <c r="L11" i="6" s="1"/>
  <c r="E51" i="3"/>
  <c r="AS23" i="3"/>
  <c r="G17" i="6" s="1"/>
  <c r="K17" i="6" s="1"/>
  <c r="N17" i="6" s="1"/>
  <c r="E17" i="6"/>
  <c r="I17" i="6" s="1"/>
  <c r="L17" i="6" s="1"/>
  <c r="E53" i="3"/>
  <c r="D67" i="3"/>
  <c r="D78" i="3" s="1"/>
  <c r="G44" i="3"/>
  <c r="G53" i="3" s="1"/>
  <c r="F44" i="3"/>
  <c r="F53" i="3" s="1"/>
  <c r="H42" i="3"/>
  <c r="F43" i="3"/>
  <c r="I10" i="6"/>
  <c r="L10" i="6" s="1"/>
  <c r="AK22" i="3"/>
  <c r="F16" i="6" s="1"/>
  <c r="G64" i="3"/>
  <c r="G77" i="3" s="1"/>
  <c r="AS16" i="3"/>
  <c r="G10" i="6" s="1"/>
  <c r="K10" i="6" s="1"/>
  <c r="N10" i="6" s="1"/>
  <c r="AS22" i="3"/>
  <c r="G16" i="6" s="1"/>
  <c r="AS17" i="3"/>
  <c r="G11" i="6" s="1"/>
  <c r="K11" i="6" s="1"/>
  <c r="N11" i="6" s="1"/>
  <c r="H70" i="3"/>
  <c r="H79" i="3" s="1"/>
  <c r="I15" i="6"/>
  <c r="L15" i="6" s="1"/>
  <c r="D42" i="3"/>
  <c r="I9" i="6"/>
  <c r="L9" i="6" s="1"/>
  <c r="E43" i="3"/>
  <c r="E16" i="6" s="1"/>
  <c r="O22" i="3"/>
  <c r="D16" i="6" s="1"/>
  <c r="J10" i="6"/>
  <c r="M10" i="6" s="1"/>
  <c r="G69" i="3"/>
  <c r="AS20" i="3"/>
  <c r="G14" i="6" s="1"/>
  <c r="K14" i="6" s="1"/>
  <c r="N14" i="6" s="1"/>
  <c r="E14" i="6"/>
  <c r="I14" i="6" s="1"/>
  <c r="L14" i="6" s="1"/>
  <c r="E52" i="3"/>
  <c r="H67" i="3"/>
  <c r="H78" i="3" s="1"/>
  <c r="I16" i="6" l="1"/>
  <c r="L16" i="6" s="1"/>
  <c r="J16" i="6"/>
  <c r="M16" i="6" s="1"/>
  <c r="K16" i="6"/>
  <c r="N16" i="6" s="1"/>
</calcChain>
</file>

<file path=xl/comments1.xml><?xml version="1.0" encoding="utf-8"?>
<comments xmlns="http://schemas.openxmlformats.org/spreadsheetml/2006/main">
  <authors>
    <author>dhuyvetter</author>
    <author>Kevin</author>
    <author>Kevin Dhuyvetter</author>
    <author>Glynn Tonsor</author>
  </authors>
  <commentList>
    <comment ref="B2" authorId="0" shapeId="0">
      <text>
        <r>
          <rPr>
            <sz val="10"/>
            <color indexed="81"/>
            <rFont val="Tahoma"/>
            <family val="2"/>
          </rPr>
          <t xml:space="preserve">You can enter in up to three different price scenarios and then "pick" which one you want by choosing 1-3 in the </t>
        </r>
        <r>
          <rPr>
            <b/>
            <u/>
            <sz val="10"/>
            <color indexed="81"/>
            <rFont val="Tahoma"/>
            <family val="2"/>
          </rPr>
          <t>Net Present Value</t>
        </r>
        <r>
          <rPr>
            <sz val="10"/>
            <color indexed="81"/>
            <rFont val="Tahoma"/>
            <family val="2"/>
          </rPr>
          <t xml:space="preserve"> tab.
</t>
        </r>
      </text>
    </comment>
    <comment ref="J2" authorId="0" shapeId="0">
      <text>
        <r>
          <rPr>
            <sz val="10"/>
            <color indexed="81"/>
            <rFont val="Tahoma"/>
            <family val="2"/>
          </rPr>
          <t xml:space="preserve">You can enter in up to three different weight scenarios and then "pick" which one you want by choosing 1-3 in the </t>
        </r>
        <r>
          <rPr>
            <b/>
            <u/>
            <sz val="10"/>
            <color indexed="81"/>
            <rFont val="Tahoma"/>
            <family val="2"/>
          </rPr>
          <t>Net Present Value</t>
        </r>
        <r>
          <rPr>
            <sz val="10"/>
            <color indexed="81"/>
            <rFont val="Tahoma"/>
            <family val="2"/>
          </rPr>
          <t xml:space="preserve"> tab.
</t>
        </r>
      </text>
    </comment>
    <comment ref="C5" authorId="1" shapeId="0">
      <text>
        <r>
          <rPr>
            <sz val="10"/>
            <color indexed="81"/>
            <rFont val="Tahoma"/>
            <family val="2"/>
          </rPr>
          <t>ERS 10-year projections
http://www.ers.usda.gov/publications/oce-usda-agricultural-projections/oce131.aspx#.UklmCY4o6ew
OCE:
http://www.usda.gov/oce/commodity/projections/index.htm</t>
        </r>
      </text>
    </comment>
    <comment ref="B6" authorId="2" shapeId="0">
      <text>
        <r>
          <rPr>
            <sz val="10"/>
            <color indexed="81"/>
            <rFont val="Tahoma"/>
            <family val="2"/>
          </rPr>
          <t xml:space="preserve">First year in 10-year series is based on year of first calf entered in </t>
        </r>
        <r>
          <rPr>
            <b/>
            <sz val="10"/>
            <color indexed="81"/>
            <rFont val="Tahoma"/>
            <family val="2"/>
          </rPr>
          <t>Net present value</t>
        </r>
        <r>
          <rPr>
            <sz val="10"/>
            <color indexed="81"/>
            <rFont val="Tahoma"/>
            <family val="2"/>
          </rPr>
          <t xml:space="preserve"> tab.</t>
        </r>
      </text>
    </comment>
    <comment ref="H20" authorId="3" shapeId="0">
      <text>
        <r>
          <rPr>
            <sz val="9"/>
            <color indexed="81"/>
            <rFont val="Tahoma"/>
            <family val="2"/>
          </rPr>
          <t>This price slide value reflects U.S. averages over the Jan 2010-Oct 2013 period for 400 to 800 lbs weight classes.</t>
        </r>
      </text>
    </comment>
  </commentList>
</comments>
</file>

<file path=xl/comments2.xml><?xml version="1.0" encoding="utf-8"?>
<comments xmlns="http://schemas.openxmlformats.org/spreadsheetml/2006/main">
  <authors>
    <author>dhuyvetter</author>
    <author>AgEcon</author>
    <author>Kevin Dhuyvetter</author>
  </authors>
  <commentList>
    <comment ref="G3" authorId="0" shapeId="0">
      <text>
        <r>
          <rPr>
            <sz val="10"/>
            <color indexed="81"/>
            <rFont val="Tahoma"/>
            <family val="2"/>
          </rPr>
          <t xml:space="preserve">Enter the number of females to be purchased.
</t>
        </r>
      </text>
    </comment>
    <comment ref="N3" authorId="0" shapeId="0">
      <text>
        <r>
          <rPr>
            <sz val="10"/>
            <color indexed="81"/>
            <rFont val="Tahoma"/>
            <family val="2"/>
          </rPr>
          <t xml:space="preserve">Enter the percent of calves that are marketable annually.
</t>
        </r>
      </text>
    </comment>
    <comment ref="G4" authorId="0" shapeId="0">
      <text>
        <r>
          <rPr>
            <sz val="10"/>
            <color indexed="81"/>
            <rFont val="Tahoma"/>
            <family val="2"/>
          </rPr>
          <t xml:space="preserve">Enter the year the females will be purchased.
</t>
        </r>
      </text>
    </comment>
    <comment ref="N4" authorId="0" shapeId="0">
      <text>
        <r>
          <rPr>
            <sz val="10"/>
            <color indexed="81"/>
            <rFont val="Tahoma"/>
            <family val="2"/>
          </rPr>
          <t xml:space="preserve">Enter the annual death loss on cows as a percent.
</t>
        </r>
      </text>
    </comment>
    <comment ref="G5" authorId="0" shapeId="0">
      <text>
        <r>
          <rPr>
            <sz val="10"/>
            <color indexed="81"/>
            <rFont val="Tahoma"/>
            <family val="2"/>
          </rPr>
          <t xml:space="preserve">Enter the first year that calves will be sold.
</t>
        </r>
      </text>
    </comment>
    <comment ref="N5" authorId="0" shapeId="0">
      <text>
        <r>
          <rPr>
            <sz val="10"/>
            <color indexed="81"/>
            <rFont val="Tahoma"/>
            <family val="2"/>
          </rPr>
          <t xml:space="preserve">Enter the percent of cows that are culled annually for "normal" reasons (e.g., open, ornery, etc.) as opposed to age-related reasons (e.g., teeth, feet, etc).
</t>
        </r>
      </text>
    </comment>
    <comment ref="G6" authorId="0" shapeId="0">
      <text>
        <r>
          <rPr>
            <sz val="10"/>
            <color indexed="81"/>
            <rFont val="Tahoma"/>
            <family val="2"/>
          </rPr>
          <t xml:space="preserve">Enter the weight of the cow when she is culled (pounds per head).
</t>
        </r>
      </text>
    </comment>
    <comment ref="G7" authorId="1" shapeId="0">
      <text>
        <r>
          <rPr>
            <sz val="10"/>
            <color indexed="81"/>
            <rFont val="Tahoma"/>
            <family val="2"/>
          </rPr>
          <t xml:space="preserve">Enter the annual costs per cow ($/head).
2013 KFMA Cow-Calf Enterprise Summary:
http://kfma.ksu.edu/ 
Approximate costs
 $1,072 - total costs
 $773 - total variable costs
 $720 - everything except labor, interest, and depreciation 
</t>
        </r>
      </text>
    </comment>
    <comment ref="N7" authorId="0" shapeId="0">
      <text>
        <r>
          <rPr>
            <sz val="10"/>
            <color indexed="81"/>
            <rFont val="Tahoma"/>
            <family val="2"/>
          </rPr>
          <t xml:space="preserve">Enter an estimate for annual inflation rate on costs.
</t>
        </r>
      </text>
    </comment>
    <comment ref="G8" authorId="0" shapeId="0">
      <text>
        <r>
          <rPr>
            <sz val="10"/>
            <color indexed="81"/>
            <rFont val="Tahoma"/>
            <family val="2"/>
          </rPr>
          <t xml:space="preserve">Enter the price scenario to use from the </t>
        </r>
        <r>
          <rPr>
            <b/>
            <u/>
            <sz val="10"/>
            <color indexed="81"/>
            <rFont val="Tahoma"/>
            <family val="2"/>
          </rPr>
          <t>Prices and weights</t>
        </r>
        <r>
          <rPr>
            <sz val="10"/>
            <color indexed="81"/>
            <rFont val="Tahoma"/>
            <family val="2"/>
          </rPr>
          <t xml:space="preserve"> tabs (1-3).
</t>
        </r>
      </text>
    </comment>
    <comment ref="N8" authorId="0" shapeId="0">
      <text>
        <r>
          <rPr>
            <sz val="10"/>
            <color indexed="81"/>
            <rFont val="Tahoma"/>
            <family val="2"/>
          </rPr>
          <t>Enter an estimate for annual increase in weaning weights from base due to improved genetics (i.e., weaning weight inflation).
This number should be comparable to inflation on costs.</t>
        </r>
      </text>
    </comment>
    <comment ref="G9" authorId="0" shapeId="0">
      <text>
        <r>
          <rPr>
            <sz val="10"/>
            <color indexed="81"/>
            <rFont val="Tahoma"/>
            <family val="2"/>
          </rPr>
          <t xml:space="preserve">Enter the weaning weight scenario to use from </t>
        </r>
        <r>
          <rPr>
            <b/>
            <u/>
            <sz val="10"/>
            <color indexed="81"/>
            <rFont val="Tahoma"/>
            <family val="2"/>
          </rPr>
          <t>Prices and weights</t>
        </r>
        <r>
          <rPr>
            <sz val="10"/>
            <color indexed="81"/>
            <rFont val="Tahoma"/>
            <family val="2"/>
          </rPr>
          <t xml:space="preserve"> tab (1-3).
</t>
        </r>
      </text>
    </comment>
    <comment ref="N9" authorId="0" shapeId="0">
      <text>
        <r>
          <rPr>
            <sz val="10"/>
            <color indexed="81"/>
            <rFont val="Tahoma"/>
            <family val="2"/>
          </rPr>
          <t xml:space="preserve">Enter a desired rate of return (typically suggest to enter a value comparable to interest rates on operating loans).  A value higher than the loan rate is justified if risk is high.
</t>
        </r>
      </text>
    </comment>
    <comment ref="I12" authorId="2" shapeId="0">
      <text>
        <r>
          <rPr>
            <sz val="10"/>
            <color indexed="81"/>
            <rFont val="Tahoma"/>
            <family val="2"/>
          </rPr>
          <t xml:space="preserve">Cull income is broken down into two categories:
</t>
        </r>
        <r>
          <rPr>
            <b/>
            <sz val="10"/>
            <color indexed="81"/>
            <rFont val="Tahoma"/>
            <family val="2"/>
          </rPr>
          <t xml:space="preserve">Annual </t>
        </r>
        <r>
          <rPr>
            <sz val="10"/>
            <color indexed="81"/>
            <rFont val="Tahoma"/>
            <family val="2"/>
          </rPr>
          <t xml:space="preserve">-- reflects cows sold earlier than desired due to reproductive (open) or other temperament-related (ornery) issues.
</t>
        </r>
        <r>
          <rPr>
            <b/>
            <sz val="10"/>
            <color indexed="81"/>
            <rFont val="Tahoma"/>
            <family val="2"/>
          </rPr>
          <t>Age</t>
        </r>
        <r>
          <rPr>
            <sz val="10"/>
            <color indexed="81"/>
            <rFont val="Tahoma"/>
            <family val="2"/>
          </rPr>
          <t xml:space="preserve"> -- reflects selling a cow that has reached the end of her productive life (i.e., no teeth, lame, or other structural issues).</t>
        </r>
      </text>
    </comment>
    <comment ref="AP12" authorId="2" shapeId="0">
      <text>
        <r>
          <rPr>
            <sz val="10"/>
            <color indexed="81"/>
            <rFont val="Tahoma"/>
            <family val="2"/>
          </rPr>
          <t xml:space="preserve">Cull income is broken down into two categories:
</t>
        </r>
        <r>
          <rPr>
            <b/>
            <sz val="10"/>
            <color indexed="81"/>
            <rFont val="Tahoma"/>
            <family val="2"/>
          </rPr>
          <t xml:space="preserve">Annual </t>
        </r>
        <r>
          <rPr>
            <sz val="10"/>
            <color indexed="81"/>
            <rFont val="Tahoma"/>
            <family val="2"/>
          </rPr>
          <t xml:space="preserve">-- reflects cows sold earlier than desired due to reproductive (open) or other temperament-related (ornery) issues.
</t>
        </r>
        <r>
          <rPr>
            <b/>
            <sz val="10"/>
            <color indexed="81"/>
            <rFont val="Tahoma"/>
            <family val="2"/>
          </rPr>
          <t>Age</t>
        </r>
        <r>
          <rPr>
            <sz val="10"/>
            <color indexed="81"/>
            <rFont val="Tahoma"/>
            <family val="2"/>
          </rPr>
          <t xml:space="preserve"> -- reflects selling a cow that has reached the end of her productive life (i.e., no teeth, lame, or other structural issues).</t>
        </r>
      </text>
    </comment>
    <comment ref="I13" authorId="2" shapeId="0">
      <text>
        <r>
          <rPr>
            <sz val="10"/>
            <color indexed="81"/>
            <rFont val="Tahoma"/>
            <family val="2"/>
          </rPr>
          <t>This column reflects the income from cows culled for breeding (e.g., open) or temperament (e.g., ornery) reasons per initial replacement purchased.  Females sold for these reasons are assumed to be sold prior to the end of their expected useful life.</t>
        </r>
      </text>
    </comment>
    <comment ref="J13" authorId="2" shapeId="0">
      <text>
        <r>
          <rPr>
            <sz val="10"/>
            <color indexed="81"/>
            <rFont val="Tahoma"/>
            <family val="2"/>
          </rPr>
          <t>This column reflects the value of selling a cull cow for reasons associated with age (end of productive life), such as teeth, feet, or structural issues.</t>
        </r>
      </text>
    </comment>
    <comment ref="K13" authorId="2" shapeId="0">
      <text>
        <r>
          <rPr>
            <sz val="10"/>
            <color indexed="81"/>
            <rFont val="Tahoma"/>
            <family val="2"/>
          </rPr>
          <t>Annual cow cost adjusted for inflation and number of females remaining in herd (cost reported here is per initial female purchased).</t>
        </r>
      </text>
    </comment>
    <comment ref="AP13" authorId="2" shapeId="0">
      <text>
        <r>
          <rPr>
            <sz val="10"/>
            <color indexed="81"/>
            <rFont val="Tahoma"/>
            <family val="2"/>
          </rPr>
          <t>This column reflects the income from cows culled for breeding (e.g., open) or temperament (e.g., ornery) reasons per initial replacement purchased.  Females sold for these reasons are assumed to be sold prior to the end of their expected useful life.</t>
        </r>
      </text>
    </comment>
    <comment ref="AQ13" authorId="2" shapeId="0">
      <text>
        <r>
          <rPr>
            <sz val="10"/>
            <color indexed="81"/>
            <rFont val="Tahoma"/>
            <family val="2"/>
          </rPr>
          <t>This column reflects the value of selling a cull cow for reasons associated with age (end of productive life), such as teeth, feet, or structural issues.</t>
        </r>
      </text>
    </comment>
    <comment ref="H72" authorId="0" shapeId="0">
      <text>
        <r>
          <rPr>
            <sz val="10"/>
            <color indexed="81"/>
            <rFont val="Tahoma"/>
            <family val="2"/>
          </rPr>
          <t>Enter the amount to vary cull rate by for sensitivity analysis in table above.</t>
        </r>
      </text>
    </comment>
  </commentList>
</comments>
</file>

<file path=xl/sharedStrings.xml><?xml version="1.0" encoding="utf-8"?>
<sst xmlns="http://schemas.openxmlformats.org/spreadsheetml/2006/main" count="182" uniqueCount="112">
  <si>
    <t>Average</t>
  </si>
  <si>
    <t>Cull cow weight, lbs/hd</t>
  </si>
  <si>
    <t>Annual cow costs, $/year</t>
  </si>
  <si>
    <t>Calf</t>
  </si>
  <si>
    <t>Cull</t>
  </si>
  <si>
    <t>Year</t>
  </si>
  <si>
    <t>Annual cow death loss</t>
  </si>
  <si>
    <t>Cost</t>
  </si>
  <si>
    <t>Cows at</t>
  </si>
  <si>
    <t>Number of replacements purchased</t>
  </si>
  <si>
    <t>Annual inflation rate on costs</t>
  </si>
  <si>
    <t>Discount</t>
  </si>
  <si>
    <t>factor</t>
  </si>
  <si>
    <t>Year of purchase</t>
  </si>
  <si>
    <t>Cull Income</t>
  </si>
  <si>
    <t>First year for calf sales</t>
  </si>
  <si>
    <t>Adj.</t>
  </si>
  <si>
    <t>Calf wt</t>
  </si>
  <si>
    <t>Lbs/hd</t>
  </si>
  <si>
    <t>Prices, $/cwt</t>
  </si>
  <si>
    <t>Net</t>
  </si>
  <si>
    <t>Income</t>
  </si>
  <si>
    <t>BOY*</t>
  </si>
  <si>
    <t>* BOY = Beginning of year</t>
  </si>
  <si>
    <t>Scenario1</t>
  </si>
  <si>
    <t>Scenario2</t>
  </si>
  <si>
    <t>Percent marketable calves (1 - death loss)</t>
  </si>
  <si>
    <t>Net Present Value Analysis</t>
  </si>
  <si>
    <t>Input Assumptions</t>
  </si>
  <si>
    <t>NPV**</t>
  </si>
  <si>
    <t>** Net present value if replacement is sold in this year</t>
  </si>
  <si>
    <t>Kansas State University</t>
  </si>
  <si>
    <t>Scenario3</t>
  </si>
  <si>
    <t>Weaning weight scenario to use (1-3)</t>
  </si>
  <si>
    <t>Annual increase in average weaning weight</t>
  </si>
  <si>
    <t>Discount rate (interest rate)</t>
  </si>
  <si>
    <t>Cull cow</t>
  </si>
  <si>
    <t>Constant</t>
  </si>
  <si>
    <t>High peak</t>
  </si>
  <si>
    <t>Low peak</t>
  </si>
  <si>
    <t>Average weight for calf price (average of steer and heifer), lbs/head</t>
  </si>
  <si>
    <t>Price slide (change in price for weight deviation from base), $/lb</t>
  </si>
  <si>
    <t>Weaning Weight (steer and heifer) Scenarios</t>
  </si>
  <si>
    <t>Calf (average of steer and heifer) and Cull Cow Price Scenarios ($/cwt)</t>
  </si>
  <si>
    <t xml:space="preserve">Increment to use for annual costs/cow </t>
  </si>
  <si>
    <t>Sensitivity Analysis of NPV to varying annual cow costs</t>
  </si>
  <si>
    <t>The Net Present Value (NPV) reflects the amount that could be paid for a replacement such that the rate of return from the investment would be exactly equal to the discount rate given all of the assumptions used in the analysis.  If you have a targeted rate of return for investing in replacements, enter that as the discount rate.</t>
  </si>
  <si>
    <t>Age</t>
  </si>
  <si>
    <t>Annual cull rate</t>
  </si>
  <si>
    <t>Annual</t>
  </si>
  <si>
    <t>Values to include in chart (Calf number)</t>
  </si>
  <si>
    <t>Calves</t>
  </si>
  <si>
    <t>Cows at Beginning of Year (BOY)</t>
  </si>
  <si>
    <t>Annual Cull Rate</t>
  </si>
  <si>
    <t>Increment to use for cow cull rate</t>
  </si>
  <si>
    <t>Annual cow cull rate, %</t>
  </si>
  <si>
    <t>Sensitivity Analysis of NPV to varying annual cow cull rates</t>
  </si>
  <si>
    <t>Net Income</t>
  </si>
  <si>
    <t>Values for sensitivity analysis down below</t>
  </si>
  <si>
    <t>Glynn T. Tonsor, Ph.D.</t>
  </si>
  <si>
    <t>Scenario 1 (S1)</t>
  </si>
  <si>
    <t>Scenario 2 (S2)</t>
  </si>
  <si>
    <t>Scenario 3 (S3)</t>
  </si>
  <si>
    <t xml:space="preserve"> ** Annual cow cost, discount rate, and calf price assumptions were varied with all other inputs set at their default settings as of 11-1-13.</t>
  </si>
  <si>
    <t>Calf Price, $/cwt</t>
  </si>
  <si>
    <t>Discount rate, interest rate</t>
  </si>
  <si>
    <t>Key Inputs Varied Across Scenarios**:</t>
  </si>
  <si>
    <t>%</t>
  </si>
  <si>
    <t>$/head</t>
  </si>
  <si>
    <t>Calf Prices</t>
  </si>
  <si>
    <t>Discount Rate</t>
  </si>
  <si>
    <t>Cow Costs/yr</t>
  </si>
  <si>
    <t>Base Case</t>
  </si>
  <si>
    <t>of Calves</t>
  </si>
  <si>
    <t>10% Higher</t>
  </si>
  <si>
    <t>10% Lower</t>
  </si>
  <si>
    <t>Number</t>
  </si>
  <si>
    <t>&lt;= % of base</t>
  </si>
  <si>
    <t>Sensitivity to discount rate</t>
  </si>
  <si>
    <t>Sensitivity to calf/cull prices</t>
  </si>
  <si>
    <t>Table 1. Net Present Value of Beef Replacements, Sensitivity Analysis Summary*</t>
  </si>
  <si>
    <t xml:space="preserve"> * NPV is Net Present Value of a replacement expected to produce the number of saleable calves listed in the "Number of Calves" column before a cow is culled for age-related reasons.</t>
  </si>
  <si>
    <t>Costs</t>
  </si>
  <si>
    <t>Prices</t>
  </si>
  <si>
    <t>Sensitivity of results in "Net present value" tab</t>
  </si>
  <si>
    <t>O14:O23</t>
  </si>
  <si>
    <t>Range NPV values are pulled from</t>
  </si>
  <si>
    <t>E35:E44</t>
  </si>
  <si>
    <t>AK14:AK23</t>
  </si>
  <si>
    <t>AS14:AS23</t>
  </si>
  <si>
    <t>Marginal Impacts (relative to Base Case):</t>
  </si>
  <si>
    <t>Agricultural Economist</t>
  </si>
  <si>
    <t>Scenario 1 +10%</t>
  </si>
  <si>
    <t>USDA (As of Nov. '15)</t>
  </si>
  <si>
    <t>Flat at $25 under Scen 1</t>
  </si>
  <si>
    <t>KSU-Beef Replacements</t>
  </si>
  <si>
    <t>An Excel spreadsheet program to evaluate the economic value of purchasing beef replacement females.</t>
  </si>
  <si>
    <t>Version- 1.12.2016</t>
  </si>
  <si>
    <t>INTRODUCTION</t>
  </si>
  <si>
    <t>A spreadsheet program to calculate the net present value of purchasing replacment heifers given expectations for calf selling price, weaning weights, cull cow price, and a target rate of return on investment.</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</si>
  <si>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</si>
  <si>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t>
    </r>
  </si>
  <si>
    <r>
      <t>In the</t>
    </r>
    <r>
      <rPr>
        <b/>
        <u/>
        <sz val="12"/>
        <rFont val="Calibri"/>
        <family val="2"/>
        <scheme val="minor"/>
      </rPr>
      <t xml:space="preserve"> Price and weights </t>
    </r>
    <r>
      <rPr>
        <sz val="12"/>
        <rFont val="Calibri"/>
        <family val="2"/>
        <scheme val="minor"/>
      </rPr>
      <t xml:space="preserve">and </t>
    </r>
    <r>
      <rPr>
        <b/>
        <u/>
        <sz val="12"/>
        <rFont val="Calibri"/>
        <family val="2"/>
        <scheme val="minor"/>
      </rPr>
      <t>Net Present Value</t>
    </r>
    <r>
      <rPr>
        <sz val="12"/>
        <rFont val="Calibri"/>
        <family val="2"/>
        <scheme val="minor"/>
      </rPr>
      <t xml:space="preserve"> tabs all </t>
    </r>
    <r>
      <rPr>
        <b/>
        <sz val="12"/>
        <color rgb="FF0070C0"/>
        <rFont val="Calibri"/>
        <family val="2"/>
        <scheme val="minor"/>
      </rPr>
      <t>blue</t>
    </r>
    <r>
      <rPr>
        <sz val="12"/>
        <rFont val="Calibri"/>
        <family val="2"/>
        <scheme val="minor"/>
      </rPr>
      <t xml:space="preserve"> numbers are inputs and all black numbers are calculated from these inputs.  Several input cells (i.e., </t>
    </r>
    <r>
      <rPr>
        <b/>
        <sz val="12"/>
        <color rgb="FF0070C0"/>
        <rFont val="Calibri"/>
        <family val="2"/>
        <scheme val="minor"/>
      </rPr>
      <t>blue number</t>
    </r>
    <r>
      <rPr>
        <sz val="12"/>
        <rFont val="Calibri"/>
        <family val="2"/>
        <scheme val="minor"/>
      </rPr>
      <t xml:space="preserve">) have a </t>
    </r>
    <r>
      <rPr>
        <b/>
        <sz val="12"/>
        <color rgb="FFC00000"/>
        <rFont val="Calibri"/>
        <family val="2"/>
        <scheme val="minor"/>
      </rPr>
      <t xml:space="preserve">red diamond </t>
    </r>
    <r>
      <rPr>
        <sz val="12"/>
        <rFont val="Calibri"/>
        <family val="2"/>
        <scheme val="minor"/>
      </rPr>
      <t>in the upper right hand corner of the cell.  By moving your mouse cursor over this diamond, a brief description of the input will be displayed on the screen.</t>
    </r>
  </si>
  <si>
    <t>FOR MORE INFORMATION:</t>
  </si>
  <si>
    <t>Department of Agricultural Economics</t>
  </si>
  <si>
    <t>gtonsor@k-state.edu</t>
  </si>
  <si>
    <t>785-532-1518</t>
  </si>
  <si>
    <t>Copyright 2016 AgManager.info, K-State Department of Agricultural Economics</t>
  </si>
  <si>
    <t>Updated by:</t>
  </si>
  <si>
    <t>Originally developed by:</t>
  </si>
  <si>
    <t>Kevin C. Dhuyvetter, Ph.D.</t>
  </si>
  <si>
    <t>Former Extension Agricultural Economist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</si>
</sst>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_);\(&quot;$&quot;#,##0\)"/>
    <numFmt numFmtId="44" formatCode="_(&quot;$&quot;* #,##0.00_);_(&quot;$&quot;* \(#,##0.00\);_(&quot;$&quot;* &quot;-&quot;??_);_(@_)"/>
    <numFmt numFmtId="164" formatCode="&quot;$&quot;#,##0.00"/>
    <numFmt numFmtId="165" formatCode="0.0%"/>
    <numFmt numFmtId="166" formatCode="0.0"/>
    <numFmt numFmtId="167" formatCode="&quot;$&quot;#,##0"/>
    <numFmt numFmtId="168" formatCode="0.0000"/>
    <numFmt numFmtId="169" formatCode="&quot;$&quot;#,##0.000"/>
  </numFmts>
  <fonts count="45">
    <font>
      <sz val="12"/>
      <name val="Arial"/>
    </font>
    <font>
      <sz val="8"/>
      <name val="Arial"/>
      <family val="2"/>
    </font>
    <font>
      <sz val="10"/>
      <color indexed="81"/>
      <name val="Tahoma"/>
      <family val="2"/>
    </font>
    <font>
      <b/>
      <u/>
      <sz val="10"/>
      <color indexed="81"/>
      <name val="Tahoma"/>
      <family val="2"/>
    </font>
    <font>
      <sz val="12"/>
      <name val="Arial"/>
      <family val="2"/>
    </font>
    <font>
      <sz val="12"/>
      <name val="Arial MT"/>
    </font>
    <font>
      <b/>
      <sz val="11"/>
      <name val="Calibri"/>
      <family val="2"/>
    </font>
    <font>
      <b/>
      <sz val="12"/>
      <name val="Calibri"/>
      <family val="2"/>
    </font>
    <font>
      <b/>
      <sz val="11"/>
      <color indexed="12"/>
      <name val="Calibri"/>
      <family val="2"/>
    </font>
    <font>
      <sz val="11"/>
      <name val="Calibri"/>
      <family val="2"/>
    </font>
    <font>
      <b/>
      <sz val="11"/>
      <color indexed="10"/>
      <name val="Calibri"/>
      <family val="2"/>
    </font>
    <font>
      <b/>
      <sz val="10"/>
      <name val="Calibri"/>
      <family val="2"/>
    </font>
    <font>
      <b/>
      <sz val="10"/>
      <color indexed="81"/>
      <name val="Tahoma"/>
      <family val="2"/>
    </font>
    <font>
      <sz val="11"/>
      <color indexed="12"/>
      <name val="Calibri"/>
      <family val="2"/>
    </font>
    <font>
      <sz val="11"/>
      <name val="Arial"/>
      <family val="2"/>
    </font>
    <font>
      <sz val="10"/>
      <name val="Arial"/>
      <family val="2"/>
    </font>
    <font>
      <sz val="10"/>
      <name val="Arial"/>
      <family val="2"/>
    </font>
    <font>
      <u/>
      <sz val="10"/>
      <color indexed="12"/>
      <name val="Arial"/>
      <family val="2"/>
    </font>
    <font>
      <sz val="9"/>
      <color indexed="81"/>
      <name val="Tahoma"/>
      <family val="2"/>
    </font>
    <font>
      <b/>
      <sz val="11"/>
      <color rgb="FF0000FF"/>
      <name val="Calibri"/>
      <family val="2"/>
    </font>
    <font>
      <sz val="11"/>
      <color rgb="FF0000FF"/>
      <name val="Calibri"/>
      <family val="2"/>
    </font>
    <font>
      <sz val="11"/>
      <name val="Calibri"/>
      <family val="2"/>
      <scheme val="minor"/>
    </font>
    <font>
      <b/>
      <sz val="12"/>
      <name val="Calibri"/>
      <family val="2"/>
      <scheme val="minor"/>
    </font>
    <font>
      <b/>
      <sz val="10"/>
      <color rgb="FF0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color rgb="FF0070C0"/>
      <name val="Calibri"/>
      <family val="2"/>
      <scheme val="minor"/>
    </font>
    <font>
      <b/>
      <sz val="12"/>
      <color rgb="FFC00000"/>
      <name val="Calibri"/>
      <family val="2"/>
      <scheme val="minor"/>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rgb="FF7030A0"/>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style="thin">
        <color indexed="64"/>
      </bottom>
      <diagonal/>
    </border>
    <border>
      <left/>
      <right/>
      <top style="double">
        <color indexed="8"/>
      </top>
      <bottom style="thin">
        <color indexed="8"/>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indexed="64"/>
      </top>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top style="thin">
        <color theme="0" tint="-0.34998626667073579"/>
      </top>
      <bottom style="medium">
        <color theme="1"/>
      </bottom>
      <diagonal/>
    </border>
  </borders>
  <cellStyleXfs count="8">
    <xf numFmtId="0" fontId="0" fillId="0" borderId="0"/>
    <xf numFmtId="44" fontId="4" fillId="0" borderId="0" applyFont="0" applyFill="0" applyBorder="0" applyAlignment="0" applyProtection="0"/>
    <xf numFmtId="0" fontId="17" fillId="0" borderId="0" applyNumberFormat="0" applyFill="0" applyBorder="0" applyAlignment="0" applyProtection="0">
      <alignment vertical="top"/>
      <protection locked="0"/>
    </xf>
    <xf numFmtId="0" fontId="5" fillId="0" borderId="0"/>
    <xf numFmtId="0" fontId="15" fillId="0" borderId="0"/>
    <xf numFmtId="9" fontId="16" fillId="0" borderId="0" applyFont="0" applyFill="0" applyBorder="0" applyAlignment="0" applyProtection="0"/>
    <xf numFmtId="9" fontId="15" fillId="0" borderId="0" applyFont="0" applyFill="0" applyBorder="0" applyAlignment="0" applyProtection="0"/>
    <xf numFmtId="0" fontId="17" fillId="0" borderId="0" applyNumberFormat="0" applyFill="0" applyBorder="0" applyAlignment="0" applyProtection="0">
      <alignment vertical="top"/>
      <protection locked="0"/>
    </xf>
  </cellStyleXfs>
  <cellXfs count="293">
    <xf numFmtId="0" fontId="0" fillId="0" borderId="0" xfId="0"/>
    <xf numFmtId="0" fontId="9" fillId="2" borderId="0" xfId="0" applyFont="1" applyFill="1"/>
    <xf numFmtId="0" fontId="9" fillId="2" borderId="0" xfId="0" applyFont="1" applyFill="1" applyProtection="1"/>
    <xf numFmtId="0" fontId="9" fillId="2" borderId="0" xfId="0" applyNumberFormat="1" applyFont="1" applyFill="1" applyAlignment="1"/>
    <xf numFmtId="0" fontId="6" fillId="2" borderId="0" xfId="0" applyFont="1" applyFill="1" applyAlignment="1">
      <alignment horizontal="center"/>
    </xf>
    <xf numFmtId="0" fontId="6" fillId="2" borderId="0" xfId="0" applyFont="1" applyFill="1" applyBorder="1" applyAlignment="1"/>
    <xf numFmtId="0" fontId="9" fillId="2" borderId="0" xfId="0" applyFont="1" applyFill="1" applyBorder="1" applyAlignment="1"/>
    <xf numFmtId="0" fontId="9" fillId="2" borderId="0" xfId="0" applyFont="1" applyFill="1" applyBorder="1"/>
    <xf numFmtId="0" fontId="6" fillId="2" borderId="0" xfId="0"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pplyProtection="1">
      <alignment horizontal="center"/>
      <protection locked="0"/>
    </xf>
    <xf numFmtId="0" fontId="6" fillId="2" borderId="0" xfId="0" applyFont="1" applyFill="1" applyAlignment="1" applyProtection="1">
      <alignment horizontal="center"/>
    </xf>
    <xf numFmtId="0" fontId="6" fillId="0" borderId="0" xfId="0" applyFont="1" applyFill="1" applyBorder="1" applyAlignment="1" applyProtection="1"/>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Alignment="1" applyProtection="1">
      <alignment horizontal="centerContinuous"/>
    </xf>
    <xf numFmtId="0" fontId="9" fillId="0" borderId="0" xfId="0" applyFont="1" applyFill="1" applyBorder="1" applyAlignment="1" applyProtection="1">
      <alignment horizontal="center"/>
    </xf>
    <xf numFmtId="0" fontId="9" fillId="0" borderId="0" xfId="0" applyFont="1" applyFill="1" applyBorder="1" applyProtection="1"/>
    <xf numFmtId="0" fontId="9" fillId="0" borderId="9" xfId="0" applyFont="1" applyFill="1" applyBorder="1" applyAlignment="1" applyProtection="1">
      <alignment horizontal="center"/>
    </xf>
    <xf numFmtId="0" fontId="9" fillId="0" borderId="10" xfId="0" applyFont="1" applyFill="1" applyBorder="1" applyAlignment="1" applyProtection="1">
      <alignment horizontal="center"/>
    </xf>
    <xf numFmtId="0" fontId="9" fillId="0" borderId="0" xfId="0" applyFont="1" applyFill="1" applyAlignment="1" applyProtection="1">
      <alignment horizontal="center"/>
    </xf>
    <xf numFmtId="0" fontId="9" fillId="0" borderId="11" xfId="0" applyFont="1" applyFill="1" applyBorder="1" applyAlignment="1" applyProtection="1">
      <alignment horizontal="center"/>
    </xf>
    <xf numFmtId="164" fontId="9" fillId="0" borderId="11" xfId="0" applyNumberFormat="1" applyFont="1" applyFill="1" applyBorder="1" applyAlignment="1" applyProtection="1">
      <alignment horizontal="right" indent="1"/>
    </xf>
    <xf numFmtId="164" fontId="13" fillId="0" borderId="0" xfId="0" applyNumberFormat="1" applyFont="1" applyFill="1" applyBorder="1" applyAlignment="1" applyProtection="1">
      <alignment horizontal="right" indent="1"/>
      <protection locked="0"/>
    </xf>
    <xf numFmtId="164" fontId="13" fillId="0" borderId="0" xfId="0" applyNumberFormat="1" applyFont="1" applyFill="1" applyAlignment="1" applyProtection="1">
      <alignment horizontal="right" indent="1"/>
      <protection locked="0"/>
    </xf>
    <xf numFmtId="0" fontId="13" fillId="2" borderId="0" xfId="0" applyFont="1" applyFill="1" applyAlignment="1" applyProtection="1">
      <alignment horizontal="right" indent="1"/>
      <protection locked="0"/>
    </xf>
    <xf numFmtId="167" fontId="8" fillId="2" borderId="0" xfId="0" applyNumberFormat="1" applyFont="1" applyFill="1" applyAlignment="1" applyProtection="1">
      <alignment horizontal="right" vertical="center" indent="1"/>
      <protection locked="0"/>
    </xf>
    <xf numFmtId="0" fontId="9" fillId="0" borderId="0" xfId="0" applyNumberFormat="1" applyFont="1" applyFill="1" applyAlignment="1" applyProtection="1">
      <protection locked="0"/>
    </xf>
    <xf numFmtId="0" fontId="9" fillId="0" borderId="0" xfId="0" applyNumberFormat="1" applyFont="1" applyFill="1" applyAlignment="1" applyProtection="1">
      <alignment vertical="center"/>
      <protection locked="0"/>
    </xf>
    <xf numFmtId="0" fontId="9" fillId="0" borderId="0" xfId="0" applyNumberFormat="1" applyFont="1" applyFill="1" applyBorder="1" applyAlignment="1" applyProtection="1">
      <alignment vertical="center"/>
      <protection locked="0"/>
    </xf>
    <xf numFmtId="0" fontId="9" fillId="0" borderId="0" xfId="0" applyNumberFormat="1" applyFont="1" applyFill="1" applyBorder="1" applyAlignment="1" applyProtection="1">
      <protection locked="0"/>
    </xf>
    <xf numFmtId="0" fontId="9" fillId="2" borderId="0" xfId="0" applyNumberFormat="1" applyFont="1" applyFill="1" applyAlignment="1" applyProtection="1"/>
    <xf numFmtId="2" fontId="9" fillId="2" borderId="0" xfId="0" applyNumberFormat="1" applyFont="1" applyFill="1" applyAlignment="1" applyProtection="1"/>
    <xf numFmtId="0" fontId="6" fillId="2" borderId="7" xfId="0" applyNumberFormat="1" applyFont="1" applyFill="1" applyBorder="1" applyAlignment="1" applyProtection="1"/>
    <xf numFmtId="0" fontId="6" fillId="2" borderId="7" xfId="0" applyNumberFormat="1" applyFont="1" applyFill="1" applyBorder="1" applyAlignment="1" applyProtection="1">
      <alignment horizontal="center" vertical="center"/>
    </xf>
    <xf numFmtId="0" fontId="6" fillId="2" borderId="7" xfId="0" quotePrefix="1" applyNumberFormat="1" applyFont="1" applyFill="1" applyBorder="1" applyAlignment="1" applyProtection="1">
      <alignment horizontal="center" vertical="center"/>
    </xf>
    <xf numFmtId="0" fontId="9" fillId="2" borderId="0" xfId="0" applyNumberFormat="1" applyFont="1" applyFill="1" applyAlignment="1" applyProtection="1">
      <alignment vertical="center"/>
    </xf>
    <xf numFmtId="0" fontId="6" fillId="2" borderId="0" xfId="0" applyNumberFormat="1" applyFont="1" applyFill="1" applyAlignment="1" applyProtection="1">
      <alignment vertical="center"/>
    </xf>
    <xf numFmtId="0" fontId="8" fillId="2" borderId="0" xfId="0" applyNumberFormat="1" applyFont="1" applyFill="1" applyAlignment="1" applyProtection="1">
      <alignment vertical="center"/>
    </xf>
    <xf numFmtId="0" fontId="9" fillId="2" borderId="0" xfId="0" applyNumberFormat="1" applyFont="1" applyFill="1" applyBorder="1" applyAlignment="1" applyProtection="1">
      <alignment vertical="center"/>
    </xf>
    <xf numFmtId="0" fontId="6" fillId="2" borderId="0" xfId="0" applyNumberFormat="1" applyFont="1" applyFill="1" applyBorder="1" applyAlignment="1" applyProtection="1">
      <alignment vertical="center"/>
    </xf>
    <xf numFmtId="0" fontId="6" fillId="2" borderId="7" xfId="0" applyNumberFormat="1" applyFont="1" applyFill="1" applyBorder="1" applyAlignment="1" applyProtection="1">
      <alignment vertical="center"/>
    </xf>
    <xf numFmtId="0" fontId="9" fillId="2" borderId="0" xfId="0" applyNumberFormat="1" applyFont="1" applyFill="1" applyBorder="1" applyAlignment="1" applyProtection="1"/>
    <xf numFmtId="0" fontId="6" fillId="2" borderId="0" xfId="0" applyNumberFormat="1" applyFont="1" applyFill="1" applyBorder="1" applyAlignment="1" applyProtection="1"/>
    <xf numFmtId="0" fontId="9" fillId="2" borderId="2" xfId="0" applyNumberFormat="1" applyFont="1" applyFill="1" applyBorder="1" applyAlignment="1" applyProtection="1">
      <alignment horizontal="centerContinuous"/>
    </xf>
    <xf numFmtId="0" fontId="6" fillId="2" borderId="0" xfId="0" applyNumberFormat="1" applyFont="1" applyFill="1" applyAlignment="1" applyProtection="1"/>
    <xf numFmtId="0" fontId="6" fillId="2" borderId="0" xfId="0" applyNumberFormat="1" applyFont="1" applyFill="1" applyAlignment="1" applyProtection="1">
      <alignment horizontal="center"/>
    </xf>
    <xf numFmtId="0" fontId="6" fillId="2" borderId="0" xfId="0" applyNumberFormat="1" applyFont="1" applyFill="1" applyAlignment="1" applyProtection="1">
      <alignment horizontal="centerContinuous"/>
    </xf>
    <xf numFmtId="164" fontId="6" fillId="2" borderId="0" xfId="0" applyNumberFormat="1" applyFont="1" applyFill="1" applyAlignment="1" applyProtection="1">
      <alignment horizontal="right" indent="1"/>
    </xf>
    <xf numFmtId="167" fontId="6" fillId="2" borderId="0" xfId="0" applyNumberFormat="1" applyFont="1" applyFill="1" applyAlignment="1" applyProtection="1">
      <alignment horizontal="center"/>
    </xf>
    <xf numFmtId="0" fontId="6" fillId="2" borderId="12" xfId="0" applyNumberFormat="1" applyFont="1" applyFill="1" applyBorder="1" applyAlignment="1" applyProtection="1">
      <alignment horizontal="center"/>
    </xf>
    <xf numFmtId="0" fontId="6" fillId="2" borderId="12" xfId="0" applyNumberFormat="1" applyFont="1" applyFill="1" applyBorder="1" applyAlignment="1" applyProtection="1">
      <alignment horizontal="right" indent="1"/>
    </xf>
    <xf numFmtId="0" fontId="6" fillId="3" borderId="0" xfId="0" applyNumberFormat="1" applyFont="1" applyFill="1" applyAlignment="1" applyProtection="1">
      <alignment horizontal="center" vertical="center"/>
    </xf>
    <xf numFmtId="168" fontId="6" fillId="3" borderId="0" xfId="0" applyNumberFormat="1" applyFont="1" applyFill="1" applyAlignment="1" applyProtection="1">
      <alignment horizontal="center" vertical="center"/>
    </xf>
    <xf numFmtId="167" fontId="6" fillId="3" borderId="0" xfId="0" quotePrefix="1" applyNumberFormat="1" applyFont="1" applyFill="1" applyAlignment="1" applyProtection="1">
      <alignment horizontal="right" vertical="center" indent="1"/>
    </xf>
    <xf numFmtId="0" fontId="6" fillId="2" borderId="0" xfId="0" applyNumberFormat="1" applyFont="1" applyFill="1" applyAlignment="1" applyProtection="1">
      <alignment horizontal="right"/>
    </xf>
    <xf numFmtId="0" fontId="6" fillId="2" borderId="2" xfId="0" applyNumberFormat="1" applyFont="1" applyFill="1" applyBorder="1" applyAlignment="1" applyProtection="1"/>
    <xf numFmtId="0" fontId="6" fillId="2" borderId="2" xfId="0" applyNumberFormat="1" applyFont="1" applyFill="1" applyBorder="1" applyAlignment="1" applyProtection="1">
      <alignment horizontal="centerContinuous"/>
    </xf>
    <xf numFmtId="0" fontId="6" fillId="4" borderId="2" xfId="0" applyNumberFormat="1" applyFont="1" applyFill="1" applyBorder="1" applyAlignment="1" applyProtection="1"/>
    <xf numFmtId="0" fontId="6" fillId="4" borderId="3" xfId="0" applyNumberFormat="1" applyFont="1" applyFill="1" applyBorder="1" applyAlignment="1" applyProtection="1"/>
    <xf numFmtId="167" fontId="6" fillId="4" borderId="12" xfId="0" applyNumberFormat="1" applyFont="1" applyFill="1" applyBorder="1" applyAlignment="1" applyProtection="1">
      <alignment horizontal="right" indent="1"/>
    </xf>
    <xf numFmtId="167" fontId="6" fillId="4" borderId="13" xfId="0" applyNumberFormat="1" applyFont="1" applyFill="1" applyBorder="1" applyAlignment="1" applyProtection="1">
      <alignment horizontal="right" indent="1"/>
    </xf>
    <xf numFmtId="167" fontId="6" fillId="4" borderId="0" xfId="0" applyNumberFormat="1" applyFont="1" applyFill="1" applyBorder="1" applyAlignment="1" applyProtection="1">
      <alignment horizontal="right" indent="1"/>
    </xf>
    <xf numFmtId="167" fontId="6" fillId="4" borderId="5" xfId="0" applyNumberFormat="1" applyFont="1" applyFill="1" applyBorder="1" applyAlignment="1" applyProtection="1">
      <alignment horizontal="right" indent="1"/>
    </xf>
    <xf numFmtId="167" fontId="6" fillId="4" borderId="7" xfId="0" applyNumberFormat="1" applyFont="1" applyFill="1" applyBorder="1" applyAlignment="1" applyProtection="1">
      <alignment horizontal="right" indent="1"/>
    </xf>
    <xf numFmtId="167" fontId="6" fillId="4" borderId="8" xfId="0" applyNumberFormat="1" applyFont="1" applyFill="1" applyBorder="1" applyAlignment="1" applyProtection="1">
      <alignment horizontal="right" indent="1"/>
    </xf>
    <xf numFmtId="0" fontId="19" fillId="4" borderId="4" xfId="0" applyNumberFormat="1" applyFont="1" applyFill="1" applyBorder="1" applyAlignment="1" applyProtection="1">
      <alignment horizontal="center"/>
      <protection locked="0"/>
    </xf>
    <xf numFmtId="0" fontId="19" fillId="4" borderId="6" xfId="0" applyNumberFormat="1" applyFont="1" applyFill="1" applyBorder="1" applyAlignment="1" applyProtection="1">
      <alignment horizontal="center"/>
      <protection locked="0"/>
    </xf>
    <xf numFmtId="0" fontId="6" fillId="4" borderId="0" xfId="0" applyNumberFormat="1" applyFont="1" applyFill="1" applyBorder="1" applyAlignment="1" applyProtection="1">
      <alignment horizontal="center"/>
    </xf>
    <xf numFmtId="0" fontId="6" fillId="4" borderId="7" xfId="0" applyNumberFormat="1" applyFont="1" applyFill="1" applyBorder="1" applyAlignment="1" applyProtection="1">
      <alignment horizontal="center"/>
    </xf>
    <xf numFmtId="0" fontId="9" fillId="5" borderId="0" xfId="0" applyNumberFormat="1" applyFont="1" applyFill="1" applyAlignment="1" applyProtection="1"/>
    <xf numFmtId="0" fontId="9" fillId="5" borderId="0" xfId="0" applyNumberFormat="1" applyFont="1" applyFill="1" applyAlignment="1" applyProtection="1">
      <protection locked="0"/>
    </xf>
    <xf numFmtId="0" fontId="6" fillId="4" borderId="1" xfId="0" applyNumberFormat="1" applyFont="1" applyFill="1" applyBorder="1" applyAlignment="1" applyProtection="1"/>
    <xf numFmtId="0" fontId="6" fillId="4" borderId="4" xfId="0" applyNumberFormat="1" applyFont="1" applyFill="1" applyBorder="1" applyAlignment="1" applyProtection="1"/>
    <xf numFmtId="0" fontId="6" fillId="4" borderId="0" xfId="0" applyNumberFormat="1" applyFont="1" applyFill="1" applyBorder="1" applyAlignment="1" applyProtection="1"/>
    <xf numFmtId="0" fontId="6" fillId="4" borderId="0" xfId="0" applyNumberFormat="1" applyFont="1" applyFill="1" applyBorder="1" applyAlignment="1" applyProtection="1">
      <alignment horizontal="centerContinuous"/>
    </xf>
    <xf numFmtId="0" fontId="6" fillId="4" borderId="5" xfId="0" applyNumberFormat="1" applyFont="1" applyFill="1" applyBorder="1" applyAlignment="1" applyProtection="1">
      <alignment horizontal="centerContinuous"/>
    </xf>
    <xf numFmtId="0" fontId="6" fillId="4" borderId="14" xfId="0" applyNumberFormat="1" applyFont="1" applyFill="1" applyBorder="1" applyAlignment="1" applyProtection="1">
      <alignment horizontal="center"/>
    </xf>
    <xf numFmtId="0" fontId="9" fillId="4" borderId="12" xfId="0" applyNumberFormat="1" applyFont="1" applyFill="1" applyBorder="1" applyAlignment="1" applyProtection="1"/>
    <xf numFmtId="0" fontId="19" fillId="4" borderId="16" xfId="0" applyNumberFormat="1" applyFont="1" applyFill="1" applyBorder="1" applyAlignment="1" applyProtection="1">
      <alignment horizontal="center"/>
      <protection locked="0"/>
    </xf>
    <xf numFmtId="0" fontId="6" fillId="4" borderId="17" xfId="0" applyNumberFormat="1" applyFont="1" applyFill="1" applyBorder="1" applyAlignment="1" applyProtection="1">
      <alignment horizontal="center"/>
    </xf>
    <xf numFmtId="167" fontId="6" fillId="4" borderId="17" xfId="0" applyNumberFormat="1" applyFont="1" applyFill="1" applyBorder="1" applyAlignment="1" applyProtection="1">
      <alignment horizontal="right" indent="1"/>
    </xf>
    <xf numFmtId="167" fontId="6" fillId="4" borderId="18" xfId="0" applyNumberFormat="1" applyFont="1" applyFill="1" applyBorder="1" applyAlignment="1" applyProtection="1">
      <alignment horizontal="right" indent="1"/>
    </xf>
    <xf numFmtId="0" fontId="6" fillId="2" borderId="17" xfId="0" applyNumberFormat="1" applyFont="1" applyFill="1" applyBorder="1" applyAlignment="1" applyProtection="1">
      <alignment horizontal="center" vertical="center"/>
    </xf>
    <xf numFmtId="168" fontId="6" fillId="2" borderId="17" xfId="0" applyNumberFormat="1" applyFont="1" applyFill="1" applyBorder="1" applyAlignment="1" applyProtection="1">
      <alignment horizontal="center" vertical="center"/>
    </xf>
    <xf numFmtId="167" fontId="6" fillId="2" borderId="17" xfId="0" applyNumberFormat="1" applyFont="1" applyFill="1" applyBorder="1" applyAlignment="1" applyProtection="1">
      <alignment horizontal="right" vertical="center" indent="1"/>
    </xf>
    <xf numFmtId="0" fontId="6" fillId="3" borderId="17" xfId="0" applyNumberFormat="1" applyFont="1" applyFill="1" applyBorder="1" applyAlignment="1" applyProtection="1">
      <alignment horizontal="center" vertical="center"/>
    </xf>
    <xf numFmtId="168" fontId="6" fillId="3" borderId="17" xfId="0" applyNumberFormat="1" applyFont="1" applyFill="1" applyBorder="1" applyAlignment="1" applyProtection="1">
      <alignment horizontal="center" vertical="center"/>
    </xf>
    <xf numFmtId="167" fontId="6" fillId="3" borderId="17" xfId="0" applyNumberFormat="1" applyFont="1" applyFill="1" applyBorder="1" applyAlignment="1" applyProtection="1">
      <alignment horizontal="right" vertical="center" indent="1"/>
    </xf>
    <xf numFmtId="0" fontId="8" fillId="2" borderId="0" xfId="0" applyNumberFormat="1" applyFont="1" applyFill="1" applyAlignment="1" applyProtection="1">
      <alignment horizontal="right" vertical="center" indent="1"/>
      <protection locked="0"/>
    </xf>
    <xf numFmtId="3" fontId="8" fillId="2" borderId="0" xfId="0" applyNumberFormat="1" applyFont="1" applyFill="1" applyAlignment="1" applyProtection="1">
      <alignment horizontal="right" vertical="center" indent="1"/>
      <protection locked="0"/>
    </xf>
    <xf numFmtId="167" fontId="8" fillId="2" borderId="0" xfId="0" applyNumberFormat="1" applyFont="1" applyFill="1" applyBorder="1" applyAlignment="1" applyProtection="1">
      <alignment horizontal="right" vertical="center" indent="1"/>
      <protection locked="0"/>
    </xf>
    <xf numFmtId="0" fontId="8" fillId="2" borderId="0" xfId="0" applyNumberFormat="1" applyFont="1" applyFill="1" applyBorder="1" applyAlignment="1" applyProtection="1">
      <alignment horizontal="right" vertical="center" indent="1"/>
      <protection locked="0"/>
    </xf>
    <xf numFmtId="0" fontId="8" fillId="2" borderId="7" xfId="0" applyNumberFormat="1" applyFont="1" applyFill="1" applyBorder="1" applyAlignment="1" applyProtection="1">
      <alignment horizontal="right" vertical="center" indent="1"/>
      <protection locked="0"/>
    </xf>
    <xf numFmtId="165" fontId="8" fillId="2" borderId="0" xfId="0" applyNumberFormat="1" applyFont="1" applyFill="1" applyAlignment="1" applyProtection="1">
      <alignment horizontal="right" vertical="center" indent="1"/>
      <protection locked="0"/>
    </xf>
    <xf numFmtId="0" fontId="6" fillId="2" borderId="0" xfId="0" applyNumberFormat="1" applyFont="1" applyFill="1" applyAlignment="1" applyProtection="1">
      <alignment horizontal="right" vertical="center" indent="1"/>
    </xf>
    <xf numFmtId="165" fontId="8" fillId="2" borderId="0" xfId="0" applyNumberFormat="1" applyFont="1" applyFill="1" applyBorder="1" applyAlignment="1" applyProtection="1">
      <alignment horizontal="right" vertical="center" indent="1"/>
      <protection locked="0"/>
    </xf>
    <xf numFmtId="165" fontId="8" fillId="2" borderId="7" xfId="0" applyNumberFormat="1" applyFont="1" applyFill="1" applyBorder="1" applyAlignment="1" applyProtection="1">
      <alignment horizontal="right" vertical="center" indent="1"/>
      <protection locked="0"/>
    </xf>
    <xf numFmtId="0" fontId="11" fillId="2" borderId="0" xfId="0" applyNumberFormat="1" applyFont="1" applyFill="1" applyAlignment="1" applyProtection="1">
      <alignment horizontal="left"/>
    </xf>
    <xf numFmtId="0" fontId="6" fillId="6" borderId="17" xfId="0" applyNumberFormat="1" applyFont="1" applyFill="1" applyBorder="1" applyAlignment="1" applyProtection="1">
      <alignment horizontal="center" vertical="center"/>
    </xf>
    <xf numFmtId="0" fontId="6" fillId="6" borderId="0" xfId="0" applyNumberFormat="1" applyFont="1" applyFill="1" applyAlignment="1" applyProtection="1">
      <alignment horizontal="center" vertical="center"/>
    </xf>
    <xf numFmtId="167" fontId="6" fillId="6" borderId="0" xfId="0" quotePrefix="1" applyNumberFormat="1" applyFont="1" applyFill="1" applyAlignment="1" applyProtection="1">
      <alignment horizontal="right" vertical="center" indent="1"/>
    </xf>
    <xf numFmtId="167" fontId="6" fillId="6" borderId="17" xfId="0" applyNumberFormat="1" applyFont="1" applyFill="1" applyBorder="1" applyAlignment="1" applyProtection="1">
      <alignment horizontal="right" vertical="center" indent="1"/>
    </xf>
    <xf numFmtId="165" fontId="20" fillId="0" borderId="0" xfId="5" applyNumberFormat="1" applyFont="1" applyFill="1" applyAlignment="1" applyProtection="1">
      <alignment horizontal="right" indent="1"/>
    </xf>
    <xf numFmtId="168" fontId="6" fillId="6" borderId="17" xfId="0" applyNumberFormat="1" applyFont="1" applyFill="1" applyBorder="1" applyAlignment="1" applyProtection="1">
      <alignment horizontal="center" vertical="center"/>
    </xf>
    <xf numFmtId="0" fontId="9" fillId="5" borderId="0" xfId="0" applyNumberFormat="1" applyFont="1" applyFill="1" applyAlignment="1" applyProtection="1">
      <alignment vertical="center"/>
    </xf>
    <xf numFmtId="0" fontId="9" fillId="5" borderId="0" xfId="0" applyNumberFormat="1" applyFont="1" applyFill="1" applyAlignment="1" applyProtection="1">
      <alignment vertical="center"/>
      <protection locked="0"/>
    </xf>
    <xf numFmtId="0" fontId="9" fillId="5" borderId="0" xfId="0" applyNumberFormat="1" applyFont="1" applyFill="1" applyBorder="1" applyAlignment="1" applyProtection="1">
      <alignment vertical="center"/>
    </xf>
    <xf numFmtId="0" fontId="9" fillId="5" borderId="0" xfId="0" applyNumberFormat="1" applyFont="1" applyFill="1" applyBorder="1" applyAlignment="1" applyProtection="1">
      <alignment vertical="center"/>
      <protection locked="0"/>
    </xf>
    <xf numFmtId="0" fontId="9" fillId="5" borderId="0" xfId="0" applyNumberFormat="1" applyFont="1" applyFill="1" applyBorder="1" applyAlignment="1" applyProtection="1"/>
    <xf numFmtId="0" fontId="9" fillId="5" borderId="0" xfId="0" applyNumberFormat="1" applyFont="1" applyFill="1" applyBorder="1" applyAlignment="1" applyProtection="1">
      <protection locked="0"/>
    </xf>
    <xf numFmtId="0" fontId="9" fillId="5" borderId="2" xfId="0" applyNumberFormat="1" applyFont="1" applyFill="1" applyBorder="1" applyAlignment="1" applyProtection="1">
      <alignment horizontal="centerContinuous"/>
    </xf>
    <xf numFmtId="165" fontId="6" fillId="5" borderId="0" xfId="5" applyNumberFormat="1" applyFont="1" applyFill="1" applyAlignment="1" applyProtection="1">
      <alignment horizontal="center"/>
    </xf>
    <xf numFmtId="0" fontId="6" fillId="5" borderId="12" xfId="0" applyNumberFormat="1" applyFont="1" applyFill="1" applyBorder="1" applyAlignment="1" applyProtection="1">
      <alignment horizontal="centerContinuous"/>
    </xf>
    <xf numFmtId="0" fontId="6" fillId="5" borderId="2" xfId="0" applyNumberFormat="1" applyFont="1" applyFill="1" applyBorder="1" applyAlignment="1" applyProtection="1">
      <alignment horizontal="centerContinuous"/>
    </xf>
    <xf numFmtId="167" fontId="6" fillId="3" borderId="0" xfId="0" quotePrefix="1" applyNumberFormat="1" applyFont="1" applyFill="1" applyAlignment="1" applyProtection="1">
      <alignment horizontal="right" vertical="center" indent="2"/>
    </xf>
    <xf numFmtId="167" fontId="6" fillId="2" borderId="17" xfId="0" applyNumberFormat="1" applyFont="1" applyFill="1" applyBorder="1" applyAlignment="1" applyProtection="1">
      <alignment horizontal="right" vertical="center" indent="2"/>
    </xf>
    <xf numFmtId="167" fontId="6" fillId="3" borderId="17" xfId="0" applyNumberFormat="1" applyFont="1" applyFill="1" applyBorder="1" applyAlignment="1" applyProtection="1">
      <alignment horizontal="right" vertical="center" indent="2"/>
    </xf>
    <xf numFmtId="167" fontId="6" fillId="6" borderId="17" xfId="0" applyNumberFormat="1" applyFont="1" applyFill="1" applyBorder="1" applyAlignment="1" applyProtection="1">
      <alignment horizontal="right" vertical="center" indent="2"/>
    </xf>
    <xf numFmtId="166" fontId="6" fillId="3" borderId="0" xfId="0" applyNumberFormat="1" applyFont="1" applyFill="1" applyAlignment="1" applyProtection="1">
      <alignment horizontal="right" vertical="center" indent="2"/>
    </xf>
    <xf numFmtId="166" fontId="6" fillId="3" borderId="17" xfId="0" applyNumberFormat="1" applyFont="1" applyFill="1" applyBorder="1" applyAlignment="1" applyProtection="1">
      <alignment horizontal="right" vertical="center" indent="2"/>
    </xf>
    <xf numFmtId="166" fontId="6" fillId="6" borderId="17" xfId="0" applyNumberFormat="1" applyFont="1" applyFill="1" applyBorder="1" applyAlignment="1" applyProtection="1">
      <alignment horizontal="right" vertical="center" indent="2"/>
    </xf>
    <xf numFmtId="165" fontId="8" fillId="2" borderId="0" xfId="0" applyNumberFormat="1" applyFont="1" applyFill="1" applyAlignment="1" applyProtection="1">
      <alignment horizontal="right" vertical="center" indent="2"/>
      <protection locked="0"/>
    </xf>
    <xf numFmtId="0" fontId="6" fillId="2" borderId="19" xfId="0" applyNumberFormat="1" applyFont="1" applyFill="1" applyBorder="1" applyAlignment="1" applyProtection="1">
      <alignment horizontal="center" vertical="center"/>
    </xf>
    <xf numFmtId="168" fontId="6" fillId="2" borderId="19" xfId="0" applyNumberFormat="1" applyFont="1" applyFill="1" applyBorder="1" applyAlignment="1" applyProtection="1">
      <alignment horizontal="center" vertical="center"/>
    </xf>
    <xf numFmtId="167" fontId="6" fillId="2" borderId="19" xfId="0" applyNumberFormat="1" applyFont="1" applyFill="1" applyBorder="1" applyAlignment="1" applyProtection="1">
      <alignment horizontal="right" vertical="center" indent="1"/>
    </xf>
    <xf numFmtId="167" fontId="6" fillId="2" borderId="19" xfId="0" applyNumberFormat="1" applyFont="1" applyFill="1" applyBorder="1" applyAlignment="1" applyProtection="1">
      <alignment horizontal="right" vertical="center" indent="2"/>
    </xf>
    <xf numFmtId="166" fontId="6" fillId="5" borderId="17" xfId="0" applyNumberFormat="1" applyFont="1" applyFill="1" applyBorder="1" applyAlignment="1" applyProtection="1">
      <alignment horizontal="right" vertical="center" indent="2"/>
    </xf>
    <xf numFmtId="166" fontId="6" fillId="5" borderId="19" xfId="0" applyNumberFormat="1" applyFont="1" applyFill="1" applyBorder="1" applyAlignment="1" applyProtection="1">
      <alignment horizontal="right" vertical="center" indent="2"/>
    </xf>
    <xf numFmtId="165" fontId="6" fillId="4" borderId="12" xfId="5" applyNumberFormat="1" applyFont="1" applyFill="1" applyBorder="1" applyAlignment="1" applyProtection="1">
      <alignment horizontal="right" indent="1"/>
    </xf>
    <xf numFmtId="165" fontId="6" fillId="4" borderId="13" xfId="5" applyNumberFormat="1" applyFont="1" applyFill="1" applyBorder="1" applyAlignment="1" applyProtection="1">
      <alignment horizontal="right" indent="1"/>
    </xf>
    <xf numFmtId="0" fontId="7" fillId="2" borderId="7" xfId="0" applyNumberFormat="1" applyFont="1" applyFill="1" applyBorder="1" applyAlignment="1" applyProtection="1"/>
    <xf numFmtId="0" fontId="21" fillId="0" borderId="0" xfId="0" applyFont="1" applyFill="1"/>
    <xf numFmtId="0" fontId="21" fillId="0" borderId="0" xfId="0" applyFont="1" applyFill="1" applyAlignment="1">
      <alignment horizontal="center"/>
    </xf>
    <xf numFmtId="0" fontId="21" fillId="0" borderId="12" xfId="0" applyNumberFormat="1" applyFont="1" applyFill="1" applyBorder="1" applyAlignment="1" applyProtection="1">
      <alignment horizontal="center"/>
    </xf>
    <xf numFmtId="0" fontId="21" fillId="0" borderId="0" xfId="0" applyNumberFormat="1" applyFont="1" applyFill="1" applyBorder="1" applyAlignment="1" applyProtection="1">
      <alignment horizontal="center" vertical="center"/>
    </xf>
    <xf numFmtId="5" fontId="21" fillId="0" borderId="0" xfId="1" applyNumberFormat="1" applyFont="1" applyFill="1" applyBorder="1" applyAlignment="1" applyProtection="1">
      <alignment horizontal="center" vertical="center"/>
    </xf>
    <xf numFmtId="5" fontId="21" fillId="0" borderId="0" xfId="0" applyNumberFormat="1" applyFont="1" applyFill="1" applyAlignment="1">
      <alignment horizontal="right" indent="1"/>
    </xf>
    <xf numFmtId="9" fontId="21" fillId="0" borderId="0" xfId="6" applyFont="1" applyFill="1" applyAlignment="1">
      <alignment horizontal="right" indent="1"/>
    </xf>
    <xf numFmtId="0" fontId="21" fillId="0" borderId="0" xfId="0" applyFont="1" applyFill="1" applyBorder="1"/>
    <xf numFmtId="0" fontId="21" fillId="0" borderId="0" xfId="0" applyFont="1" applyFill="1" applyBorder="1" applyAlignment="1">
      <alignment horizontal="center"/>
    </xf>
    <xf numFmtId="167" fontId="21" fillId="0" borderId="0" xfId="0" quotePrefix="1" applyNumberFormat="1" applyFont="1" applyFill="1" applyBorder="1" applyAlignment="1" applyProtection="1">
      <alignment horizontal="center" vertical="center"/>
    </xf>
    <xf numFmtId="10" fontId="21" fillId="0" borderId="0" xfId="6" applyNumberFormat="1" applyFont="1" applyFill="1" applyBorder="1" applyAlignment="1">
      <alignment horizontal="center"/>
    </xf>
    <xf numFmtId="166" fontId="6" fillId="3" borderId="0" xfId="0" applyNumberFormat="1" applyFont="1" applyFill="1" applyAlignment="1" applyProtection="1">
      <alignment horizontal="right" vertical="center" indent="1"/>
    </xf>
    <xf numFmtId="164" fontId="6" fillId="3" borderId="0" xfId="0" quotePrefix="1" applyNumberFormat="1" applyFont="1" applyFill="1" applyAlignment="1" applyProtection="1">
      <alignment horizontal="right" vertical="center" indent="1"/>
    </xf>
    <xf numFmtId="167" fontId="8" fillId="3" borderId="0" xfId="0" applyNumberFormat="1" applyFont="1" applyFill="1" applyAlignment="1" applyProtection="1">
      <alignment horizontal="right" vertical="center" indent="1"/>
      <protection locked="0"/>
    </xf>
    <xf numFmtId="167" fontId="6" fillId="3" borderId="0" xfId="0" applyNumberFormat="1" applyFont="1" applyFill="1" applyAlignment="1" applyProtection="1">
      <alignment horizontal="right" vertical="center" indent="1"/>
    </xf>
    <xf numFmtId="168" fontId="6" fillId="3" borderId="0" xfId="0" applyNumberFormat="1" applyFont="1" applyFill="1" applyAlignment="1" applyProtection="1">
      <alignment horizontal="right" vertical="center" indent="1"/>
    </xf>
    <xf numFmtId="166" fontId="6" fillId="2" borderId="17" xfId="0" applyNumberFormat="1" applyFont="1" applyFill="1" applyBorder="1" applyAlignment="1" applyProtection="1">
      <alignment horizontal="right" vertical="center" indent="1"/>
    </xf>
    <xf numFmtId="164" fontId="6" fillId="2" borderId="17" xfId="0" quotePrefix="1" applyNumberFormat="1" applyFont="1" applyFill="1" applyBorder="1" applyAlignment="1" applyProtection="1">
      <alignment horizontal="right" vertical="center" indent="1"/>
    </xf>
    <xf numFmtId="167" fontId="6" fillId="2" borderId="17" xfId="0" quotePrefix="1" applyNumberFormat="1" applyFont="1" applyFill="1" applyBorder="1" applyAlignment="1" applyProtection="1">
      <alignment horizontal="right" vertical="center" indent="1"/>
    </xf>
    <xf numFmtId="167" fontId="8" fillId="2" borderId="17" xfId="0" applyNumberFormat="1" applyFont="1" applyFill="1" applyBorder="1" applyAlignment="1" applyProtection="1">
      <alignment horizontal="right" vertical="center" indent="1"/>
      <protection locked="0"/>
    </xf>
    <xf numFmtId="168" fontId="6" fillId="2" borderId="17" xfId="0" applyNumberFormat="1" applyFont="1" applyFill="1" applyBorder="1" applyAlignment="1" applyProtection="1">
      <alignment horizontal="right" vertical="center" indent="1"/>
    </xf>
    <xf numFmtId="166" fontId="6" fillId="3" borderId="17" xfId="0" applyNumberFormat="1" applyFont="1" applyFill="1" applyBorder="1" applyAlignment="1" applyProtection="1">
      <alignment horizontal="right" vertical="center" indent="1"/>
    </xf>
    <xf numFmtId="164" fontId="6" fillId="3" borderId="17" xfId="0" quotePrefix="1" applyNumberFormat="1" applyFont="1" applyFill="1" applyBorder="1" applyAlignment="1" applyProtection="1">
      <alignment horizontal="right" vertical="center" indent="1"/>
    </xf>
    <xf numFmtId="167" fontId="6" fillId="3" borderId="17" xfId="0" quotePrefix="1" applyNumberFormat="1" applyFont="1" applyFill="1" applyBorder="1" applyAlignment="1" applyProtection="1">
      <alignment horizontal="right" vertical="center" indent="1"/>
    </xf>
    <xf numFmtId="164" fontId="6" fillId="3" borderId="17" xfId="0" applyNumberFormat="1" applyFont="1" applyFill="1" applyBorder="1" applyAlignment="1" applyProtection="1">
      <alignment horizontal="right" vertical="center" indent="1"/>
    </xf>
    <xf numFmtId="167" fontId="8" fillId="3" borderId="17" xfId="0" applyNumberFormat="1" applyFont="1" applyFill="1" applyBorder="1" applyAlignment="1" applyProtection="1">
      <alignment horizontal="right" vertical="center" indent="1"/>
      <protection locked="0"/>
    </xf>
    <xf numFmtId="168" fontId="6" fillId="3" borderId="17" xfId="0" applyNumberFormat="1" applyFont="1" applyFill="1" applyBorder="1" applyAlignment="1" applyProtection="1">
      <alignment horizontal="right" vertical="center" indent="1"/>
    </xf>
    <xf numFmtId="164" fontId="6" fillId="2" borderId="17" xfId="0" applyNumberFormat="1" applyFont="1" applyFill="1" applyBorder="1" applyAlignment="1" applyProtection="1">
      <alignment horizontal="right" vertical="center" indent="1"/>
    </xf>
    <xf numFmtId="166" fontId="6" fillId="6" borderId="17" xfId="0" applyNumberFormat="1" applyFont="1" applyFill="1" applyBorder="1" applyAlignment="1" applyProtection="1">
      <alignment horizontal="right" vertical="center" indent="1"/>
    </xf>
    <xf numFmtId="164" fontId="6" fillId="6" borderId="17" xfId="0" quotePrefix="1" applyNumberFormat="1" applyFont="1" applyFill="1" applyBorder="1" applyAlignment="1" applyProtection="1">
      <alignment horizontal="right" vertical="center" indent="1"/>
    </xf>
    <xf numFmtId="167" fontId="6" fillId="6" borderId="17" xfId="0" quotePrefix="1" applyNumberFormat="1" applyFont="1" applyFill="1" applyBorder="1" applyAlignment="1" applyProtection="1">
      <alignment horizontal="right" vertical="center" indent="1"/>
    </xf>
    <xf numFmtId="164" fontId="6" fillId="6" borderId="17" xfId="0" applyNumberFormat="1" applyFont="1" applyFill="1" applyBorder="1" applyAlignment="1" applyProtection="1">
      <alignment horizontal="right" vertical="center" indent="1"/>
    </xf>
    <xf numFmtId="167" fontId="8" fillId="6" borderId="17" xfId="0" applyNumberFormat="1" applyFont="1" applyFill="1" applyBorder="1" applyAlignment="1" applyProtection="1">
      <alignment horizontal="right" vertical="center" indent="1"/>
      <protection locked="0"/>
    </xf>
    <xf numFmtId="168" fontId="6" fillId="6" borderId="17" xfId="0" applyNumberFormat="1" applyFont="1" applyFill="1" applyBorder="1" applyAlignment="1" applyProtection="1">
      <alignment horizontal="right" vertical="center" indent="1"/>
    </xf>
    <xf numFmtId="166" fontId="6" fillId="2" borderId="19" xfId="0" applyNumberFormat="1" applyFont="1" applyFill="1" applyBorder="1" applyAlignment="1" applyProtection="1">
      <alignment horizontal="right" vertical="center" indent="1"/>
    </xf>
    <xf numFmtId="164" fontId="6" fillId="2" borderId="19" xfId="0" quotePrefix="1" applyNumberFormat="1" applyFont="1" applyFill="1" applyBorder="1" applyAlignment="1" applyProtection="1">
      <alignment horizontal="right" vertical="center" indent="1"/>
    </xf>
    <xf numFmtId="167" fontId="6" fillId="2" borderId="19" xfId="0" quotePrefix="1" applyNumberFormat="1" applyFont="1" applyFill="1" applyBorder="1" applyAlignment="1" applyProtection="1">
      <alignment horizontal="right" vertical="center" indent="1"/>
    </xf>
    <xf numFmtId="164" fontId="6" fillId="2" borderId="19" xfId="0" applyNumberFormat="1" applyFont="1" applyFill="1" applyBorder="1" applyAlignment="1" applyProtection="1">
      <alignment horizontal="right" vertical="center" indent="1"/>
    </xf>
    <xf numFmtId="167" fontId="8" fillId="2" borderId="19" xfId="0" applyNumberFormat="1" applyFont="1" applyFill="1" applyBorder="1" applyAlignment="1" applyProtection="1">
      <alignment horizontal="right" vertical="center" indent="1"/>
      <protection locked="0"/>
    </xf>
    <xf numFmtId="168" fontId="6" fillId="2" borderId="19" xfId="0" applyNumberFormat="1" applyFont="1" applyFill="1" applyBorder="1" applyAlignment="1" applyProtection="1">
      <alignment horizontal="right" vertical="center" indent="1"/>
    </xf>
    <xf numFmtId="0" fontId="6" fillId="3" borderId="0" xfId="0" applyNumberFormat="1" applyFont="1" applyFill="1" applyAlignment="1" applyProtection="1">
      <alignment horizontal="right" vertical="center" indent="2"/>
    </xf>
    <xf numFmtId="1" fontId="6" fillId="3" borderId="0" xfId="0" quotePrefix="1" applyNumberFormat="1" applyFont="1" applyFill="1" applyAlignment="1" applyProtection="1">
      <alignment horizontal="right" vertical="center" indent="2"/>
    </xf>
    <xf numFmtId="0" fontId="6" fillId="2" borderId="17" xfId="0" applyNumberFormat="1" applyFont="1" applyFill="1" applyBorder="1" applyAlignment="1" applyProtection="1">
      <alignment horizontal="right" vertical="center" indent="2"/>
    </xf>
    <xf numFmtId="1" fontId="6" fillId="2" borderId="17" xfId="0" quotePrefix="1" applyNumberFormat="1" applyFont="1" applyFill="1" applyBorder="1" applyAlignment="1" applyProtection="1">
      <alignment horizontal="right" vertical="center" indent="2"/>
    </xf>
    <xf numFmtId="0" fontId="6" fillId="3" borderId="17" xfId="0" applyNumberFormat="1" applyFont="1" applyFill="1" applyBorder="1" applyAlignment="1" applyProtection="1">
      <alignment horizontal="right" vertical="center" indent="2"/>
    </xf>
    <xf numFmtId="1" fontId="6" fillId="3" borderId="17" xfId="0" quotePrefix="1" applyNumberFormat="1" applyFont="1" applyFill="1" applyBorder="1" applyAlignment="1" applyProtection="1">
      <alignment horizontal="right" vertical="center" indent="2"/>
    </xf>
    <xf numFmtId="0" fontId="6" fillId="6" borderId="17" xfId="0" applyNumberFormat="1" applyFont="1" applyFill="1" applyBorder="1" applyAlignment="1" applyProtection="1">
      <alignment horizontal="right" vertical="center" indent="2"/>
    </xf>
    <xf numFmtId="1" fontId="6" fillId="6" borderId="17" xfId="0" quotePrefix="1" applyNumberFormat="1" applyFont="1" applyFill="1" applyBorder="1" applyAlignment="1" applyProtection="1">
      <alignment horizontal="right" vertical="center" indent="2"/>
    </xf>
    <xf numFmtId="0" fontId="6" fillId="2" borderId="19" xfId="0" applyNumberFormat="1" applyFont="1" applyFill="1" applyBorder="1" applyAlignment="1" applyProtection="1">
      <alignment horizontal="right" vertical="center" indent="2"/>
    </xf>
    <xf numFmtId="1" fontId="6" fillId="2" borderId="19" xfId="0" quotePrefix="1" applyNumberFormat="1" applyFont="1" applyFill="1" applyBorder="1" applyAlignment="1" applyProtection="1">
      <alignment horizontal="right" vertical="center" indent="2"/>
    </xf>
    <xf numFmtId="0" fontId="6" fillId="2" borderId="0" xfId="0" applyNumberFormat="1" applyFont="1" applyFill="1" applyAlignment="1" applyProtection="1">
      <alignment horizontal="right" indent="2"/>
    </xf>
    <xf numFmtId="3" fontId="6" fillId="2" borderId="0" xfId="0" applyNumberFormat="1" applyFont="1" applyFill="1" applyAlignment="1" applyProtection="1">
      <alignment horizontal="right" indent="2"/>
    </xf>
    <xf numFmtId="165" fontId="8" fillId="5" borderId="0" xfId="0" applyNumberFormat="1" applyFont="1" applyFill="1" applyBorder="1" applyAlignment="1" applyProtection="1">
      <alignment horizontal="right" vertical="center" indent="1"/>
      <protection locked="0"/>
    </xf>
    <xf numFmtId="0" fontId="6" fillId="5" borderId="0" xfId="0" applyNumberFormat="1" applyFont="1" applyFill="1" applyBorder="1" applyAlignment="1" applyProtection="1"/>
    <xf numFmtId="0" fontId="6" fillId="5" borderId="0" xfId="0" applyNumberFormat="1" applyFont="1" applyFill="1" applyAlignment="1" applyProtection="1">
      <alignment horizontal="center"/>
    </xf>
    <xf numFmtId="0" fontId="6" fillId="5" borderId="0" xfId="0" applyNumberFormat="1" applyFont="1" applyFill="1" applyAlignment="1" applyProtection="1">
      <alignment horizontal="centerContinuous"/>
    </xf>
    <xf numFmtId="164" fontId="6" fillId="5" borderId="0" xfId="0" applyNumberFormat="1" applyFont="1" applyFill="1" applyAlignment="1" applyProtection="1">
      <alignment horizontal="right" indent="1"/>
    </xf>
    <xf numFmtId="0" fontId="6" fillId="5" borderId="12" xfId="0" applyNumberFormat="1" applyFont="1" applyFill="1" applyBorder="1" applyAlignment="1" applyProtection="1">
      <alignment horizontal="center"/>
    </xf>
    <xf numFmtId="0" fontId="6" fillId="5" borderId="12" xfId="0" applyNumberFormat="1" applyFont="1" applyFill="1" applyBorder="1" applyAlignment="1" applyProtection="1">
      <alignment horizontal="right" indent="1"/>
    </xf>
    <xf numFmtId="0" fontId="6" fillId="5" borderId="0" xfId="0" applyNumberFormat="1" applyFont="1" applyFill="1" applyBorder="1" applyAlignment="1" applyProtection="1">
      <alignment vertical="center"/>
      <protection locked="0"/>
    </xf>
    <xf numFmtId="10" fontId="6" fillId="5" borderId="2" xfId="0" applyNumberFormat="1" applyFont="1" applyFill="1" applyBorder="1" applyAlignment="1" applyProtection="1">
      <alignment horizontal="right" vertical="center" indent="1"/>
      <protection locked="0"/>
    </xf>
    <xf numFmtId="0" fontId="9" fillId="5" borderId="2" xfId="0" applyNumberFormat="1" applyFont="1" applyFill="1" applyBorder="1" applyAlignment="1" applyProtection="1">
      <protection locked="0"/>
    </xf>
    <xf numFmtId="0" fontId="21" fillId="0" borderId="7" xfId="0" applyFont="1" applyFill="1" applyBorder="1"/>
    <xf numFmtId="0" fontId="21" fillId="0" borderId="7" xfId="0" applyFont="1" applyFill="1" applyBorder="1" applyAlignment="1">
      <alignment horizontal="center"/>
    </xf>
    <xf numFmtId="5" fontId="21" fillId="0" borderId="7" xfId="1" applyNumberFormat="1" applyFont="1" applyFill="1" applyBorder="1" applyAlignment="1" applyProtection="1">
      <alignment horizontal="center" vertical="center"/>
    </xf>
    <xf numFmtId="0" fontId="21" fillId="0" borderId="15" xfId="0" applyFont="1" applyFill="1" applyBorder="1"/>
    <xf numFmtId="0" fontId="21" fillId="0" borderId="0" xfId="0" applyFont="1" applyFill="1" applyBorder="1" applyAlignment="1">
      <alignment horizontal="left" indent="1"/>
    </xf>
    <xf numFmtId="0" fontId="22" fillId="0" borderId="0" xfId="0" applyFont="1" applyFill="1"/>
    <xf numFmtId="0" fontId="21" fillId="4" borderId="0" xfId="0" applyFont="1" applyFill="1"/>
    <xf numFmtId="0" fontId="21" fillId="4" borderId="0" xfId="0" applyFont="1" applyFill="1" applyAlignment="1">
      <alignment horizontal="center"/>
    </xf>
    <xf numFmtId="0" fontId="21" fillId="0" borderId="12" xfId="0" applyFont="1" applyFill="1" applyBorder="1" applyAlignment="1">
      <alignment horizontal="center"/>
    </xf>
    <xf numFmtId="169" fontId="13" fillId="2" borderId="0" xfId="0" applyNumberFormat="1" applyFont="1" applyFill="1" applyAlignment="1" applyProtection="1">
      <alignment horizontal="right" indent="1"/>
      <protection locked="0"/>
    </xf>
    <xf numFmtId="0" fontId="21" fillId="5" borderId="0" xfId="0" applyFont="1" applyFill="1"/>
    <xf numFmtId="0" fontId="21" fillId="5" borderId="0" xfId="0" applyFont="1" applyFill="1" applyBorder="1" applyAlignment="1">
      <alignment horizontal="left" vertical="center"/>
    </xf>
    <xf numFmtId="0" fontId="21" fillId="5" borderId="0" xfId="0" applyFont="1" applyFill="1" applyAlignment="1">
      <alignment horizontal="center"/>
    </xf>
    <xf numFmtId="0" fontId="21" fillId="5" borderId="0" xfId="0" applyNumberFormat="1" applyFont="1" applyFill="1" applyBorder="1" applyAlignment="1" applyProtection="1">
      <alignment horizontal="center"/>
    </xf>
    <xf numFmtId="5" fontId="21" fillId="5" borderId="0" xfId="1" applyNumberFormat="1" applyFont="1" applyFill="1" applyBorder="1" applyAlignment="1" applyProtection="1">
      <alignment horizontal="center" vertical="center"/>
    </xf>
    <xf numFmtId="0" fontId="21" fillId="5" borderId="0" xfId="0" applyFont="1" applyFill="1" applyBorder="1"/>
    <xf numFmtId="167" fontId="21" fillId="5" borderId="0" xfId="0" quotePrefix="1" applyNumberFormat="1" applyFont="1" applyFill="1" applyBorder="1" applyAlignment="1" applyProtection="1">
      <alignment horizontal="center" vertical="center"/>
    </xf>
    <xf numFmtId="165" fontId="21" fillId="5" borderId="0" xfId="6" applyNumberFormat="1" applyFont="1" applyFill="1" applyBorder="1" applyAlignment="1">
      <alignment horizontal="center"/>
    </xf>
    <xf numFmtId="0" fontId="0" fillId="5" borderId="0" xfId="0" applyFill="1" applyAlignment="1">
      <alignment wrapText="1"/>
    </xf>
    <xf numFmtId="0" fontId="21" fillId="5" borderId="15" xfId="0" applyFont="1" applyFill="1" applyBorder="1"/>
    <xf numFmtId="0" fontId="21" fillId="0" borderId="0" xfId="0" applyFont="1" applyFill="1" applyProtection="1">
      <protection locked="0"/>
    </xf>
    <xf numFmtId="0" fontId="22" fillId="0" borderId="7" xfId="0" applyNumberFormat="1" applyFont="1" applyFill="1" applyBorder="1" applyAlignment="1" applyProtection="1">
      <alignment horizontal="left"/>
    </xf>
    <xf numFmtId="0" fontId="15" fillId="0" borderId="0" xfId="4" applyProtection="1"/>
    <xf numFmtId="0" fontId="24" fillId="7" borderId="1" xfId="4" applyFont="1" applyFill="1" applyBorder="1" applyProtection="1"/>
    <xf numFmtId="0" fontId="24" fillId="7" borderId="2" xfId="4" applyFont="1" applyFill="1" applyBorder="1" applyProtection="1"/>
    <xf numFmtId="0" fontId="24" fillId="7" borderId="3" xfId="4" applyFont="1" applyFill="1" applyBorder="1" applyProtection="1"/>
    <xf numFmtId="0" fontId="25" fillId="7" borderId="4" xfId="4" applyFont="1" applyFill="1" applyBorder="1" applyAlignment="1" applyProtection="1"/>
    <xf numFmtId="0" fontId="26" fillId="7" borderId="0" xfId="4" applyFont="1" applyFill="1" applyAlignment="1" applyProtection="1"/>
    <xf numFmtId="0" fontId="27" fillId="7" borderId="0" xfId="4" applyFont="1" applyFill="1" applyBorder="1" applyProtection="1"/>
    <xf numFmtId="0" fontId="24" fillId="7" borderId="0" xfId="4" applyFont="1" applyFill="1" applyBorder="1" applyProtection="1"/>
    <xf numFmtId="0" fontId="24" fillId="7" borderId="5" xfId="4" applyFont="1" applyFill="1" applyBorder="1" applyProtection="1"/>
    <xf numFmtId="0" fontId="27" fillId="7" borderId="4" xfId="4" applyFont="1" applyFill="1" applyBorder="1" applyProtection="1"/>
    <xf numFmtId="0" fontId="28" fillId="7" borderId="0" xfId="4" applyFont="1" applyFill="1" applyBorder="1" applyAlignment="1" applyProtection="1">
      <alignment horizontal="left"/>
    </xf>
    <xf numFmtId="0" fontId="29" fillId="7" borderId="0" xfId="4" applyFont="1" applyFill="1" applyAlignment="1" applyProtection="1">
      <alignment horizontal="left"/>
    </xf>
    <xf numFmtId="0" fontId="30" fillId="7" borderId="0" xfId="4" applyFont="1" applyFill="1" applyAlignment="1" applyProtection="1"/>
    <xf numFmtId="0" fontId="24" fillId="7" borderId="4" xfId="4" applyFont="1" applyFill="1" applyBorder="1" applyAlignment="1" applyProtection="1">
      <alignment horizontal="center"/>
    </xf>
    <xf numFmtId="0" fontId="34" fillId="7" borderId="0" xfId="4" applyFont="1" applyFill="1" applyAlignment="1" applyProtection="1">
      <alignment wrapText="1"/>
    </xf>
    <xf numFmtId="0" fontId="35" fillId="7" borderId="0" xfId="4" applyFont="1" applyFill="1" applyBorder="1" applyProtection="1"/>
    <xf numFmtId="0" fontId="36" fillId="7" borderId="5" xfId="4" applyFont="1" applyFill="1" applyBorder="1" applyProtection="1"/>
    <xf numFmtId="0" fontId="24" fillId="7" borderId="6" xfId="4" applyFont="1" applyFill="1" applyBorder="1" applyProtection="1"/>
    <xf numFmtId="0" fontId="24" fillId="7" borderId="7" xfId="4" applyFont="1" applyFill="1" applyBorder="1" applyProtection="1"/>
    <xf numFmtId="0" fontId="35" fillId="7" borderId="7" xfId="4" applyFont="1" applyFill="1" applyBorder="1" applyProtection="1"/>
    <xf numFmtId="0" fontId="37" fillId="7" borderId="8" xfId="4" applyFont="1" applyFill="1" applyBorder="1" applyAlignment="1" applyProtection="1">
      <alignment horizontal="right"/>
    </xf>
    <xf numFmtId="0" fontId="39" fillId="0" borderId="0" xfId="4" applyFont="1" applyProtection="1"/>
    <xf numFmtId="0" fontId="39" fillId="0" borderId="0" xfId="4" applyFont="1" applyFill="1" applyBorder="1" applyProtection="1"/>
    <xf numFmtId="0" fontId="40" fillId="0" borderId="0" xfId="4" applyFont="1" applyAlignment="1" applyProtection="1"/>
    <xf numFmtId="0" fontId="41" fillId="0" borderId="0" xfId="4" applyFont="1" applyAlignment="1" applyProtection="1"/>
    <xf numFmtId="0" fontId="41" fillId="0" borderId="0" xfId="4" applyFont="1" applyProtection="1"/>
    <xf numFmtId="0" fontId="22" fillId="0" borderId="0" xfId="4" applyFont="1" applyProtection="1"/>
    <xf numFmtId="0" fontId="22" fillId="0" borderId="0" xfId="4" applyFont="1" applyFill="1" applyProtection="1"/>
    <xf numFmtId="0" fontId="41" fillId="0" borderId="0" xfId="4" applyFont="1" applyFill="1" applyProtection="1"/>
    <xf numFmtId="0" fontId="41" fillId="0" borderId="0" xfId="4" applyFont="1" applyAlignment="1" applyProtection="1">
      <alignment wrapText="1"/>
    </xf>
    <xf numFmtId="0" fontId="40" fillId="0" borderId="0" xfId="4" applyFont="1" applyProtection="1"/>
    <xf numFmtId="0" fontId="14" fillId="0" borderId="0" xfId="4" applyFont="1" applyProtection="1"/>
    <xf numFmtId="0" fontId="41" fillId="0" borderId="0" xfId="7" applyFont="1" applyFill="1" applyAlignment="1" applyProtection="1"/>
    <xf numFmtId="0" fontId="44" fillId="0" borderId="0" xfId="7" applyFont="1" applyAlignment="1" applyProtection="1"/>
    <xf numFmtId="0" fontId="22" fillId="0" borderId="0" xfId="4" applyFont="1" applyAlignment="1" applyProtection="1">
      <alignment horizontal="left" wrapText="1"/>
    </xf>
    <xf numFmtId="0" fontId="40" fillId="0" borderId="0" xfId="4" applyFont="1" applyAlignment="1" applyProtection="1"/>
    <xf numFmtId="0" fontId="41" fillId="0" borderId="0" xfId="4" applyFont="1" applyAlignment="1" applyProtection="1"/>
    <xf numFmtId="0" fontId="41" fillId="0" borderId="0" xfId="4" applyFont="1" applyAlignment="1" applyProtection="1">
      <alignment horizontal="left" vertical="center" wrapText="1"/>
    </xf>
    <xf numFmtId="0" fontId="22" fillId="0" borderId="0" xfId="4" applyFont="1" applyAlignment="1" applyProtection="1">
      <alignment horizontal="left" vertical="center" wrapText="1"/>
    </xf>
    <xf numFmtId="0" fontId="17" fillId="0" borderId="0" xfId="7" applyAlignment="1" applyProtection="1"/>
    <xf numFmtId="0" fontId="44" fillId="0" borderId="0" xfId="2" applyFont="1" applyAlignment="1" applyProtection="1"/>
    <xf numFmtId="0" fontId="44" fillId="0" borderId="0" xfId="7" applyFont="1" applyAlignment="1" applyProtection="1"/>
    <xf numFmtId="0" fontId="27" fillId="7" borderId="4" xfId="4" applyFont="1" applyFill="1" applyBorder="1" applyAlignment="1" applyProtection="1">
      <alignment horizontal="left" wrapText="1"/>
    </xf>
    <xf numFmtId="0" fontId="31" fillId="7" borderId="0" xfId="4" applyFont="1" applyFill="1" applyAlignment="1" applyProtection="1">
      <alignment wrapText="1"/>
    </xf>
    <xf numFmtId="0" fontId="31" fillId="7" borderId="4" xfId="4" applyFont="1" applyFill="1" applyBorder="1" applyAlignment="1" applyProtection="1">
      <alignment wrapText="1"/>
    </xf>
    <xf numFmtId="0" fontId="32" fillId="0" borderId="0" xfId="4" applyFont="1" applyAlignment="1" applyProtection="1">
      <alignment wrapText="1"/>
    </xf>
    <xf numFmtId="0" fontId="33" fillId="0" borderId="0" xfId="4" applyFont="1" applyAlignment="1" applyProtection="1">
      <alignment wrapText="1"/>
    </xf>
    <xf numFmtId="0" fontId="37" fillId="7" borderId="7" xfId="4" applyFont="1" applyFill="1" applyBorder="1" applyAlignment="1" applyProtection="1">
      <alignment horizontal="right"/>
    </xf>
    <xf numFmtId="0" fontId="34" fillId="7" borderId="7" xfId="4" applyFont="1" applyFill="1" applyBorder="1" applyAlignment="1" applyProtection="1">
      <alignment horizontal="right"/>
    </xf>
    <xf numFmtId="14" fontId="37" fillId="7" borderId="7" xfId="4" applyNumberFormat="1" applyFont="1" applyFill="1" applyBorder="1" applyAlignment="1" applyProtection="1">
      <alignment horizontal="left"/>
    </xf>
    <xf numFmtId="0" fontId="34" fillId="7" borderId="7" xfId="4" applyFont="1" applyFill="1" applyBorder="1" applyAlignment="1" applyProtection="1">
      <alignment horizontal="left"/>
    </xf>
    <xf numFmtId="0" fontId="38" fillId="0" borderId="0" xfId="4" applyFont="1" applyProtection="1"/>
    <xf numFmtId="0" fontId="41" fillId="0" borderId="0" xfId="4" applyFont="1" applyAlignment="1" applyProtection="1">
      <alignment horizontal="left" vertical="top" wrapText="1"/>
    </xf>
    <xf numFmtId="0" fontId="13" fillId="0" borderId="0" xfId="0" applyFont="1" applyFill="1" applyBorder="1" applyAlignment="1" applyProtection="1">
      <alignment horizontal="center"/>
      <protection locked="0"/>
    </xf>
    <xf numFmtId="0" fontId="0" fillId="0" borderId="0" xfId="0" applyFill="1" applyAlignment="1" applyProtection="1">
      <alignment horizontal="center"/>
      <protection locked="0"/>
    </xf>
    <xf numFmtId="0" fontId="6" fillId="2" borderId="7" xfId="0" applyFont="1" applyFill="1" applyBorder="1" applyAlignment="1" applyProtection="1"/>
    <xf numFmtId="0" fontId="9" fillId="2" borderId="7" xfId="0" applyFont="1" applyFill="1" applyBorder="1" applyAlignment="1" applyProtection="1"/>
    <xf numFmtId="0" fontId="0" fillId="2" borderId="7" xfId="0" applyFill="1" applyBorder="1" applyAlignment="1" applyProtection="1"/>
    <xf numFmtId="0" fontId="10" fillId="2" borderId="0" xfId="0" applyNumberFormat="1" applyFont="1" applyFill="1" applyBorder="1" applyAlignment="1" applyProtection="1">
      <alignment wrapText="1"/>
    </xf>
    <xf numFmtId="0" fontId="14" fillId="0" borderId="0" xfId="0" applyFont="1" applyBorder="1" applyAlignment="1" applyProtection="1">
      <alignment wrapText="1"/>
    </xf>
    <xf numFmtId="0" fontId="14" fillId="0" borderId="7" xfId="0" applyFont="1" applyBorder="1" applyAlignment="1" applyProtection="1">
      <alignment wrapText="1"/>
    </xf>
    <xf numFmtId="0" fontId="6" fillId="2" borderId="2" xfId="0" applyNumberFormat="1" applyFont="1" applyFill="1" applyBorder="1" applyAlignment="1" applyProtection="1">
      <alignment horizontal="center"/>
    </xf>
    <xf numFmtId="0" fontId="6" fillId="5" borderId="0" xfId="0" applyNumberFormat="1" applyFont="1" applyFill="1" applyBorder="1" applyAlignment="1" applyProtection="1">
      <alignment horizontal="center"/>
    </xf>
    <xf numFmtId="0" fontId="22" fillId="0" borderId="7" xfId="0" applyFont="1" applyFill="1" applyBorder="1" applyAlignment="1">
      <alignment horizontal="left" vertical="center"/>
    </xf>
    <xf numFmtId="0" fontId="21" fillId="5" borderId="0" xfId="0" applyFont="1" applyFill="1" applyAlignment="1">
      <alignment wrapText="1"/>
    </xf>
    <xf numFmtId="0" fontId="14" fillId="5" borderId="0" xfId="0" applyFont="1" applyFill="1" applyAlignment="1">
      <alignment wrapText="1"/>
    </xf>
    <xf numFmtId="0" fontId="21" fillId="5" borderId="2" xfId="0" applyFont="1" applyFill="1" applyBorder="1" applyAlignment="1">
      <alignment wrapText="1"/>
    </xf>
    <xf numFmtId="0" fontId="14" fillId="5" borderId="2" xfId="0" applyFont="1" applyFill="1" applyBorder="1" applyAlignment="1">
      <alignment wrapText="1"/>
    </xf>
    <xf numFmtId="0" fontId="0" fillId="5" borderId="0" xfId="0" applyFill="1" applyAlignment="1">
      <alignment wrapText="1"/>
    </xf>
    <xf numFmtId="0" fontId="41" fillId="0" borderId="0" xfId="3" applyFont="1" applyAlignment="1" applyProtection="1">
      <alignment horizontal="left" vertical="center" wrapText="1"/>
    </xf>
    <xf numFmtId="0" fontId="41" fillId="0" borderId="0" xfId="3" applyFont="1" applyAlignment="1" applyProtection="1">
      <alignment vertical="center" wrapText="1"/>
    </xf>
    <xf numFmtId="0" fontId="41" fillId="0" borderId="0" xfId="3" applyFont="1" applyProtection="1"/>
    <xf numFmtId="0" fontId="41" fillId="0" borderId="0" xfId="3" applyFont="1" applyAlignment="1" applyProtection="1">
      <alignment horizontal="center"/>
    </xf>
    <xf numFmtId="0" fontId="41" fillId="0" borderId="0" xfId="3" applyFont="1" applyAlignment="1" applyProtection="1"/>
    <xf numFmtId="0" fontId="41" fillId="0" borderId="0" xfId="3" applyFont="1" applyFill="1" applyAlignment="1" applyProtection="1"/>
    <xf numFmtId="0" fontId="41" fillId="0" borderId="0" xfId="3" applyFont="1" applyAlignment="1" applyProtection="1"/>
    <xf numFmtId="0" fontId="41" fillId="0" borderId="0" xfId="3" applyFont="1" applyAlignment="1" applyProtection="1">
      <alignment horizontal="left" vertical="center" wrapText="1"/>
    </xf>
  </cellXfs>
  <cellStyles count="8">
    <cellStyle name="Currency 2" xfId="1"/>
    <cellStyle name="Hyperlink 2" xfId="2"/>
    <cellStyle name="Hyperlink_K-State Vegetative Buffer" xfId="7"/>
    <cellStyle name="Normal" xfId="0" builtinId="0"/>
    <cellStyle name="Normal 2" xfId="3"/>
    <cellStyle name="Normal 3" xfId="4"/>
    <cellStyle name="Percent" xfId="5" builtinId="5"/>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06/relationships/vbaProject" Target="vbaProject.bin"/><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Forecasted Calf Price</a:t>
            </a:r>
          </a:p>
        </c:rich>
      </c:tx>
      <c:layout>
        <c:manualLayout>
          <c:xMode val="edge"/>
          <c:yMode val="edge"/>
          <c:x val="0.29411152008365815"/>
          <c:y val="3.4214901410304213E-2"/>
        </c:manualLayout>
      </c:layout>
      <c:overlay val="0"/>
      <c:spPr>
        <a:noFill/>
        <a:ln w="25400">
          <a:noFill/>
        </a:ln>
      </c:spPr>
    </c:title>
    <c:autoTitleDeleted val="0"/>
    <c:plotArea>
      <c:layout>
        <c:manualLayout>
          <c:layoutTarget val="inner"/>
          <c:xMode val="edge"/>
          <c:yMode val="edge"/>
          <c:x val="0.14792927901811942"/>
          <c:y val="0.14763231197771587"/>
          <c:w val="0.80473527785856958"/>
          <c:h val="0.72701949860724235"/>
        </c:manualLayout>
      </c:layout>
      <c:lineChart>
        <c:grouping val="standard"/>
        <c:varyColors val="0"/>
        <c:ser>
          <c:idx val="0"/>
          <c:order val="0"/>
          <c:tx>
            <c:strRef>
              <c:f>'Prices and weights'!$C$5:$D$5</c:f>
              <c:strCache>
                <c:ptCount val="1"/>
                <c:pt idx="0">
                  <c:v>USDA (As of Nov. '15)</c:v>
                </c:pt>
              </c:strCache>
            </c:strRef>
          </c:tx>
          <c:spPr>
            <a:ln w="25400">
              <a:solidFill>
                <a:srgbClr val="0000FF"/>
              </a:solidFill>
              <a:prstDash val="solid"/>
            </a:ln>
          </c:spPr>
          <c:marker>
            <c:symbol val="circle"/>
            <c:size val="5"/>
            <c:spPr>
              <a:solidFill>
                <a:srgbClr val="000080"/>
              </a:solidFill>
              <a:ln>
                <a:solidFill>
                  <a:srgbClr val="0000FF"/>
                </a:solidFill>
                <a:prstDash val="solid"/>
              </a:ln>
            </c:spPr>
          </c:marker>
          <c:dLbls>
            <c:numFmt formatCode="\$#,##0" sourceLinked="0"/>
            <c:spPr>
              <a:noFill/>
              <a:ln w="25400">
                <a:noFill/>
              </a:ln>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'Prices and weights'!$B$7:$B$16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'Prices and weights'!$C$7:$C$16</c:f>
              <c:numCache>
                <c:formatCode>"$"#,##0.00</c:formatCode>
                <c:ptCount val="10"/>
                <c:pt idx="0">
                  <c:v>205</c:v>
                </c:pt>
                <c:pt idx="1">
                  <c:v>169.56893725981922</c:v>
                </c:pt>
                <c:pt idx="2">
                  <c:v>158.20226671441031</c:v>
                </c:pt>
                <c:pt idx="3">
                  <c:v>151.58755984477699</c:v>
                </c:pt>
                <c:pt idx="4">
                  <c:v>144.81308624673179</c:v>
                </c:pt>
                <c:pt idx="5">
                  <c:v>143.0534196178078</c:v>
                </c:pt>
                <c:pt idx="6">
                  <c:v>140.24507849224455</c:v>
                </c:pt>
                <c:pt idx="7">
                  <c:v>138.6668814307524</c:v>
                </c:pt>
                <c:pt idx="8">
                  <c:v>139.44683790220549</c:v>
                </c:pt>
                <c:pt idx="9">
                  <c:v>140.26</c:v>
                </c:pt>
              </c:numCache>
            </c:numRef>
          </c:val>
          <c:smooth val="0"/>
        </c:ser>
        <c:ser>
          <c:idx val="1"/>
          <c:order val="1"/>
          <c:tx>
            <c:strRef>
              <c:f>'Prices and weights'!$E$5:$F$5</c:f>
              <c:strCache>
                <c:ptCount val="1"/>
                <c:pt idx="0">
                  <c:v>Flat at $25 under Scen 1</c:v>
                </c:pt>
              </c:strCache>
            </c:strRef>
          </c:tx>
          <c:spPr>
            <a:ln w="25400">
              <a:solidFill>
                <a:srgbClr val="FF00FF"/>
              </a:solidFill>
              <a:prstDash val="solid"/>
            </a:ln>
          </c:spPr>
          <c:marker>
            <c:symbol val="square"/>
            <c:size val="5"/>
            <c:spPr>
              <a:solidFill>
                <a:srgbClr val="800080"/>
              </a:solidFill>
              <a:ln>
                <a:solidFill>
                  <a:srgbClr val="FF00FF"/>
                </a:solidFill>
                <a:prstDash val="solid"/>
              </a:ln>
            </c:spPr>
          </c:marker>
          <c:cat>
            <c:numRef>
              <c:f>'Prices and weights'!$B$7:$B$16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'Prices and weights'!$E$7:$E$16</c:f>
              <c:numCache>
                <c:formatCode>"$"#,##0.00</c:formatCode>
                <c:ptCount val="10"/>
                <c:pt idx="0">
                  <c:v>180</c:v>
                </c:pt>
                <c:pt idx="1">
                  <c:v>180</c:v>
                </c:pt>
                <c:pt idx="2">
                  <c:v>180</c:v>
                </c:pt>
                <c:pt idx="3">
                  <c:v>180</c:v>
                </c:pt>
                <c:pt idx="4">
                  <c:v>180</c:v>
                </c:pt>
                <c:pt idx="5">
                  <c:v>180</c:v>
                </c:pt>
                <c:pt idx="6">
                  <c:v>180</c:v>
                </c:pt>
                <c:pt idx="7">
                  <c:v>180</c:v>
                </c:pt>
                <c:pt idx="8">
                  <c:v>180</c:v>
                </c:pt>
                <c:pt idx="9">
                  <c:v>180</c:v>
                </c:pt>
              </c:numCache>
            </c:numRef>
          </c:val>
          <c:smooth val="0"/>
        </c:ser>
        <c:ser>
          <c:idx val="3"/>
          <c:order val="2"/>
          <c:tx>
            <c:strRef>
              <c:f>'Prices and weights'!$G$5:$H$5</c:f>
              <c:strCache>
                <c:ptCount val="1"/>
                <c:pt idx="0">
                  <c:v>Scenario 1 +10%</c:v>
                </c:pt>
              </c:strCache>
            </c:strRef>
          </c:tx>
          <c:spPr>
            <a:ln w="25400">
              <a:solidFill>
                <a:srgbClr val="99CC00"/>
              </a:solidFill>
              <a:prstDash val="solid"/>
            </a:ln>
          </c:spPr>
          <c:marker>
            <c:symbol val="diamond"/>
            <c:size val="5"/>
            <c:spPr>
              <a:solidFill>
                <a:srgbClr val="008000"/>
              </a:solidFill>
              <a:ln>
                <a:solidFill>
                  <a:srgbClr val="99CC00"/>
                </a:solidFill>
                <a:prstDash val="solid"/>
              </a:ln>
            </c:spPr>
          </c:marker>
          <c:cat>
            <c:numRef>
              <c:f>'Prices and weights'!$B$7:$B$16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'Prices and weights'!$G$7:$G$16</c:f>
              <c:numCache>
                <c:formatCode>"$"#,##0.00</c:formatCode>
                <c:ptCount val="10"/>
                <c:pt idx="0">
                  <c:v>225.50000000000003</c:v>
                </c:pt>
                <c:pt idx="1">
                  <c:v>186.52583098580115</c:v>
                </c:pt>
                <c:pt idx="2">
                  <c:v>174.02249338585136</c:v>
                </c:pt>
                <c:pt idx="3">
                  <c:v>166.74631582925471</c:v>
                </c:pt>
                <c:pt idx="4">
                  <c:v>159.29439487140499</c:v>
                </c:pt>
                <c:pt idx="5">
                  <c:v>157.35876157958859</c:v>
                </c:pt>
                <c:pt idx="6">
                  <c:v>154.26958634146902</c:v>
                </c:pt>
                <c:pt idx="7">
                  <c:v>152.53356957382766</c:v>
                </c:pt>
                <c:pt idx="8">
                  <c:v>153.39152169242604</c:v>
                </c:pt>
                <c:pt idx="9">
                  <c:v>154.286</c:v>
                </c:pt>
              </c:numCache>
            </c:numRef>
          </c:val>
          <c:smooth val="0"/>
        </c:ser>
        <c:dLbls>
          <c:showLegendKey val="0"/>
          <c:showVal val="0"/>
          <c:showCatName val="0"/>
          <c:showSerName val="0"/>
          <c:showPercent val="0"/>
          <c:showBubbleSize val="0"/>
        </c:dLbls>
        <c:marker val="1"/>
        <c:smooth val="0"/>
        <c:axId val="442876768"/>
        <c:axId val="442870496"/>
      </c:lineChart>
      <c:catAx>
        <c:axId val="44287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42870496"/>
        <c:crosses val="autoZero"/>
        <c:auto val="1"/>
        <c:lblAlgn val="ctr"/>
        <c:lblOffset val="100"/>
        <c:tickLblSkip val="1"/>
        <c:tickMarkSkip val="1"/>
        <c:noMultiLvlLbl val="0"/>
      </c:catAx>
      <c:valAx>
        <c:axId val="442870496"/>
        <c:scaling>
          <c:orientation val="minMax"/>
          <c:max val="230"/>
          <c:min val="13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Expected Price, $/cwt</a:t>
                </a:r>
              </a:p>
            </c:rich>
          </c:tx>
          <c:layout>
            <c:manualLayout>
              <c:xMode val="edge"/>
              <c:yMode val="edge"/>
              <c:x val="3.1512007744594055E-2"/>
              <c:y val="0.30508396756812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42876768"/>
        <c:crosses val="autoZero"/>
        <c:crossBetween val="between"/>
      </c:valAx>
      <c:spPr>
        <a:solidFill>
          <a:srgbClr val="FFFFFF"/>
        </a:solidFill>
        <a:ln w="12700">
          <a:solidFill>
            <a:srgbClr val="000000"/>
          </a:solidFill>
          <a:prstDash val="solid"/>
        </a:ln>
      </c:spPr>
    </c:plotArea>
    <c:legend>
      <c:legendPos val="r"/>
      <c:layout>
        <c:manualLayout>
          <c:xMode val="edge"/>
          <c:yMode val="edge"/>
          <c:x val="0.50493200184296494"/>
          <c:y val="0.16991643454038996"/>
          <c:w val="0.39447814585307006"/>
          <c:h val="0.23955431754874651"/>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Forecasted Cull Cow Price</a:t>
            </a:r>
          </a:p>
        </c:rich>
      </c:tx>
      <c:layout>
        <c:manualLayout>
          <c:xMode val="edge"/>
          <c:yMode val="edge"/>
          <c:x val="0.29411152008365815"/>
          <c:y val="3.4214901410304213E-2"/>
        </c:manualLayout>
      </c:layout>
      <c:overlay val="0"/>
      <c:spPr>
        <a:noFill/>
        <a:ln w="25400">
          <a:noFill/>
        </a:ln>
      </c:spPr>
    </c:title>
    <c:autoTitleDeleted val="0"/>
    <c:plotArea>
      <c:layout>
        <c:manualLayout>
          <c:layoutTarget val="inner"/>
          <c:xMode val="edge"/>
          <c:yMode val="edge"/>
          <c:x val="0.13412254630976159"/>
          <c:y val="0.14763231197771587"/>
          <c:w val="0.81854201056692744"/>
          <c:h val="0.72701949860724235"/>
        </c:manualLayout>
      </c:layout>
      <c:lineChart>
        <c:grouping val="standard"/>
        <c:varyColors val="0"/>
        <c:ser>
          <c:idx val="0"/>
          <c:order val="0"/>
          <c:tx>
            <c:strRef>
              <c:f>'Prices and weights'!$C$5:$D$5</c:f>
              <c:strCache>
                <c:ptCount val="1"/>
                <c:pt idx="0">
                  <c:v>USDA (As of Nov. '15)</c:v>
                </c:pt>
              </c:strCache>
            </c:strRef>
          </c:tx>
          <c:spPr>
            <a:ln w="25400">
              <a:solidFill>
                <a:srgbClr val="0000FF"/>
              </a:solidFill>
              <a:prstDash val="solid"/>
            </a:ln>
          </c:spPr>
          <c:marker>
            <c:symbol val="circle"/>
            <c:size val="5"/>
            <c:spPr>
              <a:solidFill>
                <a:srgbClr val="000080"/>
              </a:solidFill>
              <a:ln>
                <a:solidFill>
                  <a:srgbClr val="0000FF"/>
                </a:solidFill>
                <a:prstDash val="solid"/>
              </a:ln>
            </c:spPr>
          </c:marker>
          <c:dLbls>
            <c:numFmt formatCode="\$#,##0" sourceLinked="0"/>
            <c:spPr>
              <a:noFill/>
              <a:ln w="25400">
                <a:noFill/>
              </a:ln>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'Prices and weights'!$B$7:$B$16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'Prices and weights'!$D$7:$D$16</c:f>
              <c:numCache>
                <c:formatCode>"$"#,##0.00</c:formatCode>
                <c:ptCount val="10"/>
                <c:pt idx="0">
                  <c:v>90.2</c:v>
                </c:pt>
                <c:pt idx="1">
                  <c:v>74.610332394320451</c:v>
                </c:pt>
                <c:pt idx="2">
                  <c:v>69.608997354340545</c:v>
                </c:pt>
                <c:pt idx="3">
                  <c:v>66.698526331701871</c:v>
                </c:pt>
                <c:pt idx="4">
                  <c:v>63.717757948561989</c:v>
                </c:pt>
                <c:pt idx="5">
                  <c:v>62.943504631835431</c:v>
                </c:pt>
                <c:pt idx="6">
                  <c:v>61.707834536587598</c:v>
                </c:pt>
                <c:pt idx="7">
                  <c:v>61.013427829531054</c:v>
                </c:pt>
                <c:pt idx="8">
                  <c:v>61.356608676970417</c:v>
                </c:pt>
                <c:pt idx="9">
                  <c:v>61.714399999999998</c:v>
                </c:pt>
              </c:numCache>
            </c:numRef>
          </c:val>
          <c:smooth val="0"/>
        </c:ser>
        <c:ser>
          <c:idx val="1"/>
          <c:order val="1"/>
          <c:tx>
            <c:strRef>
              <c:f>'Prices and weights'!$E$5:$F$5</c:f>
              <c:strCache>
                <c:ptCount val="1"/>
                <c:pt idx="0">
                  <c:v>Flat at $25 under Scen 1</c:v>
                </c:pt>
              </c:strCache>
            </c:strRef>
          </c:tx>
          <c:spPr>
            <a:ln w="25400">
              <a:solidFill>
                <a:srgbClr val="FF00FF"/>
              </a:solidFill>
              <a:prstDash val="solid"/>
            </a:ln>
          </c:spPr>
          <c:marker>
            <c:symbol val="square"/>
            <c:size val="5"/>
            <c:spPr>
              <a:solidFill>
                <a:srgbClr val="800080"/>
              </a:solidFill>
              <a:ln>
                <a:solidFill>
                  <a:srgbClr val="FF00FF"/>
                </a:solidFill>
                <a:prstDash val="solid"/>
              </a:ln>
            </c:spPr>
          </c:marker>
          <c:cat>
            <c:numRef>
              <c:f>'Prices and weights'!$B$7:$B$16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'Prices and weights'!$F$7:$F$16</c:f>
              <c:numCache>
                <c:formatCode>"$"#,##0.00</c:formatCode>
                <c:ptCount val="10"/>
                <c:pt idx="0">
                  <c:v>79.2</c:v>
                </c:pt>
                <c:pt idx="1">
                  <c:v>79.2</c:v>
                </c:pt>
                <c:pt idx="2">
                  <c:v>79.2</c:v>
                </c:pt>
                <c:pt idx="3">
                  <c:v>79.2</c:v>
                </c:pt>
                <c:pt idx="4">
                  <c:v>79.2</c:v>
                </c:pt>
                <c:pt idx="5">
                  <c:v>79.2</c:v>
                </c:pt>
                <c:pt idx="6">
                  <c:v>79.2</c:v>
                </c:pt>
                <c:pt idx="7">
                  <c:v>79.2</c:v>
                </c:pt>
                <c:pt idx="8">
                  <c:v>79.2</c:v>
                </c:pt>
                <c:pt idx="9">
                  <c:v>79.2</c:v>
                </c:pt>
              </c:numCache>
            </c:numRef>
          </c:val>
          <c:smooth val="0"/>
        </c:ser>
        <c:ser>
          <c:idx val="3"/>
          <c:order val="2"/>
          <c:tx>
            <c:strRef>
              <c:f>'Prices and weights'!$G$5:$H$5</c:f>
              <c:strCache>
                <c:ptCount val="1"/>
                <c:pt idx="0">
                  <c:v>Scenario 1 +10%</c:v>
                </c:pt>
              </c:strCache>
            </c:strRef>
          </c:tx>
          <c:spPr>
            <a:ln w="25400">
              <a:solidFill>
                <a:srgbClr val="99CC00"/>
              </a:solidFill>
              <a:prstDash val="solid"/>
            </a:ln>
          </c:spPr>
          <c:marker>
            <c:symbol val="diamond"/>
            <c:size val="5"/>
            <c:spPr>
              <a:solidFill>
                <a:srgbClr val="008000"/>
              </a:solidFill>
              <a:ln>
                <a:solidFill>
                  <a:srgbClr val="99CC00"/>
                </a:solidFill>
                <a:prstDash val="solid"/>
              </a:ln>
            </c:spPr>
          </c:marker>
          <c:cat>
            <c:numRef>
              <c:f>'Prices and weights'!$B$7:$B$16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'Prices and weights'!$H$7:$H$16</c:f>
              <c:numCache>
                <c:formatCode>"$"#,##0.00</c:formatCode>
                <c:ptCount val="10"/>
                <c:pt idx="0">
                  <c:v>99.220000000000013</c:v>
                </c:pt>
                <c:pt idx="1">
                  <c:v>82.071365633752507</c:v>
                </c:pt>
                <c:pt idx="2">
                  <c:v>76.569897089774599</c:v>
                </c:pt>
                <c:pt idx="3">
                  <c:v>73.368378964872079</c:v>
                </c:pt>
                <c:pt idx="4">
                  <c:v>70.089533743418201</c:v>
                </c:pt>
                <c:pt idx="5">
                  <c:v>69.237855095018986</c:v>
                </c:pt>
                <c:pt idx="6">
                  <c:v>67.878617990246369</c:v>
                </c:pt>
                <c:pt idx="7">
                  <c:v>67.114770612484179</c:v>
                </c:pt>
                <c:pt idx="8">
                  <c:v>67.492269544667451</c:v>
                </c:pt>
                <c:pt idx="9">
                  <c:v>67.885840000000002</c:v>
                </c:pt>
              </c:numCache>
            </c:numRef>
          </c:val>
          <c:smooth val="0"/>
        </c:ser>
        <c:dLbls>
          <c:showLegendKey val="0"/>
          <c:showVal val="0"/>
          <c:showCatName val="0"/>
          <c:showSerName val="0"/>
          <c:showPercent val="0"/>
          <c:showBubbleSize val="0"/>
        </c:dLbls>
        <c:marker val="1"/>
        <c:smooth val="0"/>
        <c:axId val="437064808"/>
        <c:axId val="437067552"/>
      </c:lineChart>
      <c:catAx>
        <c:axId val="437064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67552"/>
        <c:crosses val="autoZero"/>
        <c:auto val="1"/>
        <c:lblAlgn val="ctr"/>
        <c:lblOffset val="100"/>
        <c:tickLblSkip val="1"/>
        <c:tickMarkSkip val="1"/>
        <c:noMultiLvlLbl val="0"/>
      </c:catAx>
      <c:valAx>
        <c:axId val="437067552"/>
        <c:scaling>
          <c:orientation val="minMax"/>
          <c:max val="100"/>
          <c:min val="5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Expected Price, $/cwt</a:t>
                </a:r>
              </a:p>
            </c:rich>
          </c:tx>
          <c:layout>
            <c:manualLayout>
              <c:xMode val="edge"/>
              <c:yMode val="edge"/>
              <c:x val="3.1512007744594055E-2"/>
              <c:y val="0.30508396756812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64808"/>
        <c:crosses val="autoZero"/>
        <c:crossBetween val="between"/>
      </c:valAx>
      <c:spPr>
        <a:solidFill>
          <a:srgbClr val="FFFFFF"/>
        </a:solidFill>
        <a:ln w="12700">
          <a:solidFill>
            <a:srgbClr val="000000"/>
          </a:solidFill>
          <a:prstDash val="solid"/>
        </a:ln>
      </c:spPr>
    </c:plotArea>
    <c:legend>
      <c:legendPos val="r"/>
      <c:layout>
        <c:manualLayout>
          <c:xMode val="edge"/>
          <c:yMode val="edge"/>
          <c:x val="0.51479393478182089"/>
          <c:y val="0.18105849582172701"/>
          <c:w val="0.37672666656312925"/>
          <c:h val="0.24512534818941506"/>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Average Calf Weaning Weight by Age of Cow</a:t>
            </a:r>
          </a:p>
        </c:rich>
      </c:tx>
      <c:layout>
        <c:manualLayout>
          <c:xMode val="edge"/>
          <c:yMode val="edge"/>
          <c:x val="0.29411152008365815"/>
          <c:y val="3.4214931466899974E-2"/>
        </c:manualLayout>
      </c:layout>
      <c:overlay val="0"/>
      <c:spPr>
        <a:noFill/>
        <a:ln w="25400">
          <a:noFill/>
        </a:ln>
      </c:spPr>
    </c:title>
    <c:autoTitleDeleted val="0"/>
    <c:plotArea>
      <c:layout>
        <c:manualLayout>
          <c:layoutTarget val="inner"/>
          <c:xMode val="edge"/>
          <c:yMode val="edge"/>
          <c:x val="0.14792927901811942"/>
          <c:y val="0.14722262158914276"/>
          <c:w val="0.82643157211456042"/>
          <c:h val="0.68333518699866269"/>
        </c:manualLayout>
      </c:layout>
      <c:lineChart>
        <c:grouping val="standard"/>
        <c:varyColors val="0"/>
        <c:ser>
          <c:idx val="0"/>
          <c:order val="0"/>
          <c:tx>
            <c:strRef>
              <c:f>'Prices and weights'!$K$5</c:f>
              <c:strCache>
                <c:ptCount val="1"/>
                <c:pt idx="0">
                  <c:v>Low peak</c:v>
                </c:pt>
              </c:strCache>
            </c:strRef>
          </c:tx>
          <c:spPr>
            <a:ln w="25400">
              <a:solidFill>
                <a:srgbClr val="0000FF"/>
              </a:solidFill>
              <a:prstDash val="solid"/>
            </a:ln>
          </c:spPr>
          <c:marker>
            <c:symbol val="circle"/>
            <c:size val="5"/>
            <c:spPr>
              <a:solidFill>
                <a:srgbClr val="000080"/>
              </a:solidFill>
              <a:ln>
                <a:solidFill>
                  <a:srgbClr val="0000FF"/>
                </a:solidFill>
                <a:prstDash val="solid"/>
              </a:ln>
            </c:spPr>
          </c:marker>
          <c:cat>
            <c:numRef>
              <c:f>'Prices and weights'!$J$7:$J$16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'Prices and weights'!$K$7:$K$16</c:f>
              <c:numCache>
                <c:formatCode>General</c:formatCode>
                <c:ptCount val="10"/>
                <c:pt idx="0">
                  <c:v>542</c:v>
                </c:pt>
                <c:pt idx="1">
                  <c:v>552</c:v>
                </c:pt>
                <c:pt idx="2">
                  <c:v>562</c:v>
                </c:pt>
                <c:pt idx="3">
                  <c:v>567</c:v>
                </c:pt>
                <c:pt idx="4">
                  <c:v>572</c:v>
                </c:pt>
                <c:pt idx="5">
                  <c:v>572</c:v>
                </c:pt>
                <c:pt idx="6">
                  <c:v>567</c:v>
                </c:pt>
                <c:pt idx="7">
                  <c:v>565</c:v>
                </c:pt>
                <c:pt idx="8">
                  <c:v>562</c:v>
                </c:pt>
                <c:pt idx="9">
                  <c:v>559</c:v>
                </c:pt>
              </c:numCache>
            </c:numRef>
          </c:val>
          <c:smooth val="0"/>
        </c:ser>
        <c:ser>
          <c:idx val="1"/>
          <c:order val="1"/>
          <c:tx>
            <c:strRef>
              <c:f>'Prices and weights'!$L$5</c:f>
              <c:strCache>
                <c:ptCount val="1"/>
                <c:pt idx="0">
                  <c:v>Constant</c:v>
                </c:pt>
              </c:strCache>
            </c:strRef>
          </c:tx>
          <c:spPr>
            <a:ln w="25400">
              <a:solidFill>
                <a:srgbClr val="FF00FF"/>
              </a:solidFill>
              <a:prstDash val="solid"/>
            </a:ln>
          </c:spPr>
          <c:marker>
            <c:symbol val="square"/>
            <c:size val="5"/>
            <c:spPr>
              <a:solidFill>
                <a:srgbClr val="800080"/>
              </a:solidFill>
              <a:ln>
                <a:solidFill>
                  <a:srgbClr val="FF00FF"/>
                </a:solidFill>
                <a:prstDash val="solid"/>
              </a:ln>
            </c:spPr>
          </c:marker>
          <c:cat>
            <c:numRef>
              <c:f>'Prices and weights'!$J$7:$J$16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'Prices and weights'!$L$7:$L$16</c:f>
              <c:numCache>
                <c:formatCode>General</c:formatCode>
                <c:ptCount val="10"/>
                <c:pt idx="0">
                  <c:v>562</c:v>
                </c:pt>
                <c:pt idx="1">
                  <c:v>562</c:v>
                </c:pt>
                <c:pt idx="2">
                  <c:v>562</c:v>
                </c:pt>
                <c:pt idx="3">
                  <c:v>562</c:v>
                </c:pt>
                <c:pt idx="4">
                  <c:v>562</c:v>
                </c:pt>
                <c:pt idx="5">
                  <c:v>562</c:v>
                </c:pt>
                <c:pt idx="6">
                  <c:v>562</c:v>
                </c:pt>
                <c:pt idx="7">
                  <c:v>562</c:v>
                </c:pt>
                <c:pt idx="8">
                  <c:v>562</c:v>
                </c:pt>
                <c:pt idx="9">
                  <c:v>562</c:v>
                </c:pt>
              </c:numCache>
            </c:numRef>
          </c:val>
          <c:smooth val="0"/>
        </c:ser>
        <c:ser>
          <c:idx val="3"/>
          <c:order val="2"/>
          <c:tx>
            <c:strRef>
              <c:f>'Prices and weights'!$M$5</c:f>
              <c:strCache>
                <c:ptCount val="1"/>
                <c:pt idx="0">
                  <c:v>High peak</c:v>
                </c:pt>
              </c:strCache>
            </c:strRef>
          </c:tx>
          <c:spPr>
            <a:ln w="25400">
              <a:solidFill>
                <a:srgbClr val="99CC00"/>
              </a:solidFill>
              <a:prstDash val="solid"/>
            </a:ln>
          </c:spPr>
          <c:marker>
            <c:symbol val="diamond"/>
            <c:size val="5"/>
            <c:spPr>
              <a:solidFill>
                <a:srgbClr val="008000"/>
              </a:solidFill>
              <a:ln>
                <a:solidFill>
                  <a:srgbClr val="99CC00"/>
                </a:solidFill>
                <a:prstDash val="solid"/>
              </a:ln>
            </c:spPr>
          </c:marker>
          <c:cat>
            <c:numRef>
              <c:f>'Prices and weights'!$J$7:$J$16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'Prices and weights'!$M$7:$M$16</c:f>
              <c:numCache>
                <c:formatCode>General</c:formatCode>
                <c:ptCount val="10"/>
                <c:pt idx="0">
                  <c:v>537</c:v>
                </c:pt>
                <c:pt idx="1">
                  <c:v>552</c:v>
                </c:pt>
                <c:pt idx="2">
                  <c:v>567</c:v>
                </c:pt>
                <c:pt idx="3">
                  <c:v>582</c:v>
                </c:pt>
                <c:pt idx="4">
                  <c:v>582</c:v>
                </c:pt>
                <c:pt idx="5">
                  <c:v>577</c:v>
                </c:pt>
                <c:pt idx="6">
                  <c:v>567</c:v>
                </c:pt>
                <c:pt idx="7">
                  <c:v>557</c:v>
                </c:pt>
                <c:pt idx="8">
                  <c:v>552</c:v>
                </c:pt>
                <c:pt idx="9">
                  <c:v>547</c:v>
                </c:pt>
              </c:numCache>
            </c:numRef>
          </c:val>
          <c:smooth val="0"/>
        </c:ser>
        <c:dLbls>
          <c:showLegendKey val="0"/>
          <c:showVal val="0"/>
          <c:showCatName val="0"/>
          <c:showSerName val="0"/>
          <c:showPercent val="0"/>
          <c:showBubbleSize val="0"/>
        </c:dLbls>
        <c:marker val="1"/>
        <c:smooth val="0"/>
        <c:axId val="437070688"/>
        <c:axId val="437071080"/>
      </c:lineChart>
      <c:catAx>
        <c:axId val="43707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US"/>
                  <a:t>Number of calves cow has had</a:t>
                </a:r>
              </a:p>
            </c:rich>
          </c:tx>
          <c:layout>
            <c:manualLayout>
              <c:xMode val="edge"/>
              <c:yMode val="edge"/>
              <c:x val="0.3648921399617947"/>
              <c:y val="0.913891513560804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71080"/>
        <c:crosses val="autoZero"/>
        <c:auto val="1"/>
        <c:lblAlgn val="ctr"/>
        <c:lblOffset val="100"/>
        <c:tickLblSkip val="1"/>
        <c:tickMarkSkip val="1"/>
        <c:noMultiLvlLbl val="0"/>
      </c:catAx>
      <c:valAx>
        <c:axId val="437071080"/>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Weaning weight, lbs/head</a:t>
                </a:r>
              </a:p>
            </c:rich>
          </c:tx>
          <c:layout>
            <c:manualLayout>
              <c:xMode val="edge"/>
              <c:yMode val="edge"/>
              <c:x val="2.3622461393509247E-2"/>
              <c:y val="0.282861767279090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70688"/>
        <c:crosses val="autoZero"/>
        <c:crossBetween val="between"/>
      </c:valAx>
      <c:spPr>
        <a:solidFill>
          <a:srgbClr val="FFFFFF"/>
        </a:solidFill>
        <a:ln w="12700">
          <a:solidFill>
            <a:srgbClr val="000000"/>
          </a:solidFill>
          <a:prstDash val="solid"/>
        </a:ln>
      </c:spPr>
    </c:plotArea>
    <c:legend>
      <c:legendPos val="r"/>
      <c:layout>
        <c:manualLayout>
          <c:xMode val="edge"/>
          <c:yMode val="edge"/>
          <c:x val="0.34714066067185384"/>
          <c:y val="0.5222236803732867"/>
          <c:w val="0.30769292891642991"/>
          <c:h val="0.20555613881598134"/>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NPV versus annual cow cost and number of calves</a:t>
            </a:r>
          </a:p>
        </c:rich>
      </c:tx>
      <c:layout>
        <c:manualLayout>
          <c:xMode val="edge"/>
          <c:yMode val="edge"/>
          <c:x val="0.18209343832020999"/>
          <c:y val="3.4214910128103911E-2"/>
        </c:manualLayout>
      </c:layout>
      <c:overlay val="0"/>
      <c:spPr>
        <a:noFill/>
        <a:ln w="25400">
          <a:noFill/>
        </a:ln>
      </c:spPr>
    </c:title>
    <c:autoTitleDeleted val="0"/>
    <c:plotArea>
      <c:layout>
        <c:manualLayout>
          <c:layoutTarget val="inner"/>
          <c:xMode val="edge"/>
          <c:yMode val="edge"/>
          <c:x val="0.15462467191601051"/>
          <c:y val="0.14363181643752232"/>
          <c:w val="0.81978572678415196"/>
          <c:h val="0.70551209554090288"/>
        </c:manualLayout>
      </c:layout>
      <c:barChart>
        <c:barDir val="col"/>
        <c:grouping val="clustered"/>
        <c:varyColors val="0"/>
        <c:ser>
          <c:idx val="0"/>
          <c:order val="0"/>
          <c:tx>
            <c:strRef>
              <c:f>'Net present value'!$C$51</c:f>
              <c:strCache>
                <c:ptCount val="1"/>
                <c:pt idx="0">
                  <c:v>4 calves</c:v>
                </c:pt>
              </c:strCache>
            </c:strRef>
          </c:tx>
          <c:spPr>
            <a:solidFill>
              <a:schemeClr val="accent4">
                <a:lumMod val="75000"/>
              </a:schemeClr>
            </a:solidFill>
            <a:ln w="19050">
              <a:solidFill>
                <a:schemeClr val="accent4">
                  <a:lumMod val="50000"/>
                </a:schemeClr>
              </a:solidFill>
              <a:prstDash val="solid"/>
            </a:ln>
          </c:spPr>
          <c:invertIfNegative val="0"/>
          <c:cat>
            <c:numRef>
              <c:f>'Net present value'!$D$33:$H$33</c:f>
              <c:numCache>
                <c:formatCode>"$"#,##0</c:formatCode>
                <c:ptCount val="5"/>
                <c:pt idx="0">
                  <c:v>560</c:v>
                </c:pt>
                <c:pt idx="1">
                  <c:v>630</c:v>
                </c:pt>
                <c:pt idx="2">
                  <c:v>700</c:v>
                </c:pt>
                <c:pt idx="3">
                  <c:v>770</c:v>
                </c:pt>
                <c:pt idx="4">
                  <c:v>840</c:v>
                </c:pt>
              </c:numCache>
            </c:numRef>
          </c:cat>
          <c:val>
            <c:numRef>
              <c:f>'Net present value'!$D$51:$H$51</c:f>
              <c:numCache>
                <c:formatCode>"$"#,##0</c:formatCode>
                <c:ptCount val="5"/>
                <c:pt idx="0">
                  <c:v>1817.0558176868353</c:v>
                </c:pt>
                <c:pt idx="1">
                  <c:v>1612.3348303452797</c:v>
                </c:pt>
                <c:pt idx="2">
                  <c:v>1407.6138430037245</c:v>
                </c:pt>
                <c:pt idx="3">
                  <c:v>1202.892855662169</c:v>
                </c:pt>
                <c:pt idx="4">
                  <c:v>998.17186832061361</c:v>
                </c:pt>
              </c:numCache>
            </c:numRef>
          </c:val>
        </c:ser>
        <c:ser>
          <c:idx val="1"/>
          <c:order val="1"/>
          <c:tx>
            <c:strRef>
              <c:f>'Net present value'!$C$52</c:f>
              <c:strCache>
                <c:ptCount val="1"/>
                <c:pt idx="0">
                  <c:v>7 calves</c:v>
                </c:pt>
              </c:strCache>
            </c:strRef>
          </c:tx>
          <c:spPr>
            <a:solidFill>
              <a:schemeClr val="accent6">
                <a:lumMod val="60000"/>
                <a:lumOff val="40000"/>
              </a:schemeClr>
            </a:solidFill>
            <a:ln w="19050">
              <a:solidFill>
                <a:schemeClr val="accent6">
                  <a:lumMod val="50000"/>
                </a:schemeClr>
              </a:solidFill>
              <a:prstDash val="solid"/>
            </a:ln>
          </c:spPr>
          <c:invertIfNegative val="0"/>
          <c:cat>
            <c:numRef>
              <c:f>'Net present value'!$D$33:$H$33</c:f>
              <c:numCache>
                <c:formatCode>"$"#,##0</c:formatCode>
                <c:ptCount val="5"/>
                <c:pt idx="0">
                  <c:v>560</c:v>
                </c:pt>
                <c:pt idx="1">
                  <c:v>630</c:v>
                </c:pt>
                <c:pt idx="2">
                  <c:v>700</c:v>
                </c:pt>
                <c:pt idx="3">
                  <c:v>770</c:v>
                </c:pt>
                <c:pt idx="4">
                  <c:v>840</c:v>
                </c:pt>
              </c:numCache>
            </c:numRef>
          </c:cat>
          <c:val>
            <c:numRef>
              <c:f>'Net present value'!$D$52:$H$52</c:f>
              <c:numCache>
                <c:formatCode>"$"#,##0</c:formatCode>
                <c:ptCount val="5"/>
                <c:pt idx="0">
                  <c:v>1904.9545919572761</c:v>
                </c:pt>
                <c:pt idx="1">
                  <c:v>1632.8205335221555</c:v>
                </c:pt>
                <c:pt idx="2">
                  <c:v>1360.686475087035</c:v>
                </c:pt>
                <c:pt idx="3">
                  <c:v>1088.5524166519144</c:v>
                </c:pt>
                <c:pt idx="4">
                  <c:v>816.41835821679388</c:v>
                </c:pt>
              </c:numCache>
            </c:numRef>
          </c:val>
        </c:ser>
        <c:ser>
          <c:idx val="3"/>
          <c:order val="2"/>
          <c:tx>
            <c:strRef>
              <c:f>'Net present value'!$C$53</c:f>
              <c:strCache>
                <c:ptCount val="1"/>
                <c:pt idx="0">
                  <c:v>10 calves</c:v>
                </c:pt>
              </c:strCache>
            </c:strRef>
          </c:tx>
          <c:spPr>
            <a:solidFill>
              <a:schemeClr val="accent3">
                <a:lumMod val="75000"/>
              </a:schemeClr>
            </a:solidFill>
            <a:ln w="19050">
              <a:solidFill>
                <a:schemeClr val="accent3">
                  <a:lumMod val="50000"/>
                </a:schemeClr>
              </a:solidFill>
              <a:prstDash val="solid"/>
            </a:ln>
          </c:spPr>
          <c:invertIfNegative val="0"/>
          <c:cat>
            <c:numRef>
              <c:f>'Net present value'!$D$33:$H$33</c:f>
              <c:numCache>
                <c:formatCode>"$"#,##0</c:formatCode>
                <c:ptCount val="5"/>
                <c:pt idx="0">
                  <c:v>560</c:v>
                </c:pt>
                <c:pt idx="1">
                  <c:v>630</c:v>
                </c:pt>
                <c:pt idx="2">
                  <c:v>700</c:v>
                </c:pt>
                <c:pt idx="3">
                  <c:v>770</c:v>
                </c:pt>
                <c:pt idx="4">
                  <c:v>840</c:v>
                </c:pt>
              </c:numCache>
            </c:numRef>
          </c:cat>
          <c:val>
            <c:numRef>
              <c:f>'Net present value'!$D$53:$H$53</c:f>
              <c:numCache>
                <c:formatCode>"$"#,##0</c:formatCode>
                <c:ptCount val="5"/>
                <c:pt idx="0">
                  <c:v>1938.4074970766237</c:v>
                </c:pt>
                <c:pt idx="1">
                  <c:v>1632.5405938639901</c:v>
                </c:pt>
                <c:pt idx="2">
                  <c:v>1326.6736906513561</c:v>
                </c:pt>
                <c:pt idx="3">
                  <c:v>1020.8067874387216</c:v>
                </c:pt>
                <c:pt idx="4">
                  <c:v>714.93988422608754</c:v>
                </c:pt>
              </c:numCache>
            </c:numRef>
          </c:val>
        </c:ser>
        <c:dLbls>
          <c:showLegendKey val="0"/>
          <c:showVal val="0"/>
          <c:showCatName val="0"/>
          <c:showSerName val="0"/>
          <c:showPercent val="0"/>
          <c:showBubbleSize val="0"/>
        </c:dLbls>
        <c:gapWidth val="150"/>
        <c:axId val="437071472"/>
        <c:axId val="437065984"/>
      </c:barChart>
      <c:catAx>
        <c:axId val="437071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US"/>
                  <a:t>Annual cow cost, $/head</a:t>
                </a:r>
              </a:p>
            </c:rich>
          </c:tx>
          <c:layout>
            <c:manualLayout>
              <c:xMode val="edge"/>
              <c:yMode val="edge"/>
              <c:x val="0.41535468066491688"/>
              <c:y val="0.915991720547126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65984"/>
        <c:crosses val="autoZero"/>
        <c:auto val="1"/>
        <c:lblAlgn val="ctr"/>
        <c:lblOffset val="100"/>
        <c:tickLblSkip val="1"/>
        <c:tickMarkSkip val="1"/>
        <c:noMultiLvlLbl val="0"/>
      </c:catAx>
      <c:valAx>
        <c:axId val="437065984"/>
        <c:scaling>
          <c:orientation val="minMax"/>
          <c:min val="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NPV of replacement, $/head</a:t>
                </a:r>
              </a:p>
            </c:rich>
          </c:tx>
          <c:layout>
            <c:manualLayout>
              <c:xMode val="edge"/>
              <c:yMode val="edge"/>
              <c:x val="1.6273965754280716E-2"/>
              <c:y val="0.243656616093720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71472"/>
        <c:crosses val="autoZero"/>
        <c:crossBetween val="between"/>
      </c:valAx>
      <c:spPr>
        <a:solidFill>
          <a:srgbClr val="FFFFFF"/>
        </a:solidFill>
        <a:ln w="12700">
          <a:solidFill>
            <a:srgbClr val="000000"/>
          </a:solidFill>
          <a:prstDash val="solid"/>
        </a:ln>
      </c:spPr>
    </c:plotArea>
    <c:legend>
      <c:legendPos val="r"/>
      <c:layout>
        <c:manualLayout>
          <c:xMode val="edge"/>
          <c:yMode val="edge"/>
          <c:x val="0.54476290463692045"/>
          <c:y val="0.16802224925136391"/>
          <c:w val="0.40190556180477444"/>
          <c:h val="9.21412059264949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NPV versus annual cow cull rate and number of calves</a:t>
            </a:r>
          </a:p>
        </c:rich>
      </c:tx>
      <c:layout>
        <c:manualLayout>
          <c:xMode val="edge"/>
          <c:yMode val="edge"/>
          <c:x val="0.18209343832020999"/>
          <c:y val="3.4214910128103911E-2"/>
        </c:manualLayout>
      </c:layout>
      <c:overlay val="0"/>
      <c:spPr>
        <a:noFill/>
        <a:ln w="25400">
          <a:noFill/>
        </a:ln>
      </c:spPr>
    </c:title>
    <c:autoTitleDeleted val="0"/>
    <c:plotArea>
      <c:layout>
        <c:manualLayout>
          <c:layoutTarget val="inner"/>
          <c:xMode val="edge"/>
          <c:yMode val="edge"/>
          <c:x val="0.14954530683664541"/>
          <c:y val="0.14363181643752232"/>
          <c:w val="0.82486509186351697"/>
          <c:h val="0.70189872607387493"/>
        </c:manualLayout>
      </c:layout>
      <c:barChart>
        <c:barDir val="col"/>
        <c:grouping val="clustered"/>
        <c:varyColors val="0"/>
        <c:ser>
          <c:idx val="0"/>
          <c:order val="0"/>
          <c:tx>
            <c:strRef>
              <c:f>'Net present value'!$C$77</c:f>
              <c:strCache>
                <c:ptCount val="1"/>
                <c:pt idx="0">
                  <c:v>4 calves</c:v>
                </c:pt>
              </c:strCache>
            </c:strRef>
          </c:tx>
          <c:spPr>
            <a:solidFill>
              <a:schemeClr val="accent4">
                <a:lumMod val="75000"/>
              </a:schemeClr>
            </a:solidFill>
            <a:ln w="19050">
              <a:solidFill>
                <a:schemeClr val="accent4">
                  <a:lumMod val="50000"/>
                </a:schemeClr>
              </a:solidFill>
              <a:prstDash val="solid"/>
            </a:ln>
          </c:spPr>
          <c:invertIfNegative val="0"/>
          <c:cat>
            <c:numRef>
              <c:f>'Net present value'!$D$59:$H$59</c:f>
              <c:numCache>
                <c:formatCode>0.0%</c:formatCode>
                <c:ptCount val="5"/>
                <c:pt idx="0">
                  <c:v>0.1</c:v>
                </c:pt>
                <c:pt idx="1">
                  <c:v>0.125</c:v>
                </c:pt>
                <c:pt idx="2">
                  <c:v>0.15</c:v>
                </c:pt>
                <c:pt idx="3">
                  <c:v>0.17499999999999999</c:v>
                </c:pt>
                <c:pt idx="4">
                  <c:v>0.19999999999999998</c:v>
                </c:pt>
              </c:numCache>
            </c:numRef>
          </c:cat>
          <c:val>
            <c:numRef>
              <c:f>'Net present value'!$D$77:$H$77</c:f>
              <c:numCache>
                <c:formatCode>"$"#,##0</c:formatCode>
                <c:ptCount val="5"/>
                <c:pt idx="0">
                  <c:v>1401.6043349553388</c:v>
                </c:pt>
                <c:pt idx="1">
                  <c:v>1404.6287779035415</c:v>
                </c:pt>
                <c:pt idx="2">
                  <c:v>1407.6138430037245</c:v>
                </c:pt>
                <c:pt idx="3">
                  <c:v>1410.5604925942973</c:v>
                </c:pt>
                <c:pt idx="4">
                  <c:v>1413.4696890136706</c:v>
                </c:pt>
              </c:numCache>
            </c:numRef>
          </c:val>
        </c:ser>
        <c:ser>
          <c:idx val="1"/>
          <c:order val="1"/>
          <c:tx>
            <c:strRef>
              <c:f>'Net present value'!$C$78</c:f>
              <c:strCache>
                <c:ptCount val="1"/>
                <c:pt idx="0">
                  <c:v>7 calves</c:v>
                </c:pt>
              </c:strCache>
            </c:strRef>
          </c:tx>
          <c:spPr>
            <a:solidFill>
              <a:schemeClr val="accent6">
                <a:lumMod val="60000"/>
                <a:lumOff val="40000"/>
              </a:schemeClr>
            </a:solidFill>
            <a:ln w="19050">
              <a:solidFill>
                <a:schemeClr val="accent6">
                  <a:lumMod val="50000"/>
                </a:schemeClr>
              </a:solidFill>
              <a:prstDash val="solid"/>
            </a:ln>
          </c:spPr>
          <c:invertIfNegative val="0"/>
          <c:cat>
            <c:numRef>
              <c:f>'Net present value'!$D$59:$H$59</c:f>
              <c:numCache>
                <c:formatCode>0.0%</c:formatCode>
                <c:ptCount val="5"/>
                <c:pt idx="0">
                  <c:v>0.1</c:v>
                </c:pt>
                <c:pt idx="1">
                  <c:v>0.125</c:v>
                </c:pt>
                <c:pt idx="2">
                  <c:v>0.15</c:v>
                </c:pt>
                <c:pt idx="3">
                  <c:v>0.17499999999999999</c:v>
                </c:pt>
                <c:pt idx="4">
                  <c:v>0.19999999999999998</c:v>
                </c:pt>
              </c:numCache>
            </c:numRef>
          </c:cat>
          <c:val>
            <c:numRef>
              <c:f>'Net present value'!$D$78:$H$78</c:f>
              <c:numCache>
                <c:formatCode>"$"#,##0</c:formatCode>
                <c:ptCount val="5"/>
                <c:pt idx="0">
                  <c:v>1339.1975812477604</c:v>
                </c:pt>
                <c:pt idx="1">
                  <c:v>1350.4184282034832</c:v>
                </c:pt>
                <c:pt idx="2">
                  <c:v>1360.686475087035</c:v>
                </c:pt>
                <c:pt idx="3">
                  <c:v>1370.0860644716279</c:v>
                </c:pt>
                <c:pt idx="4">
                  <c:v>1378.6956316662925</c:v>
                </c:pt>
              </c:numCache>
            </c:numRef>
          </c:val>
        </c:ser>
        <c:ser>
          <c:idx val="3"/>
          <c:order val="2"/>
          <c:tx>
            <c:strRef>
              <c:f>'Net present value'!$C$79</c:f>
              <c:strCache>
                <c:ptCount val="1"/>
                <c:pt idx="0">
                  <c:v>10 calves</c:v>
                </c:pt>
              </c:strCache>
            </c:strRef>
          </c:tx>
          <c:spPr>
            <a:solidFill>
              <a:schemeClr val="accent3">
                <a:lumMod val="75000"/>
              </a:schemeClr>
            </a:solidFill>
            <a:ln w="19050">
              <a:solidFill>
                <a:schemeClr val="accent3">
                  <a:lumMod val="50000"/>
                </a:schemeClr>
              </a:solidFill>
              <a:prstDash val="solid"/>
            </a:ln>
          </c:spPr>
          <c:invertIfNegative val="0"/>
          <c:cat>
            <c:numRef>
              <c:f>'Net present value'!$D$59:$H$59</c:f>
              <c:numCache>
                <c:formatCode>0.0%</c:formatCode>
                <c:ptCount val="5"/>
                <c:pt idx="0">
                  <c:v>0.1</c:v>
                </c:pt>
                <c:pt idx="1">
                  <c:v>0.125</c:v>
                </c:pt>
                <c:pt idx="2">
                  <c:v>0.15</c:v>
                </c:pt>
                <c:pt idx="3">
                  <c:v>0.17499999999999999</c:v>
                </c:pt>
                <c:pt idx="4">
                  <c:v>0.19999999999999998</c:v>
                </c:pt>
              </c:numCache>
            </c:numRef>
          </c:cat>
          <c:val>
            <c:numRef>
              <c:f>'Net present value'!$D$79:$H$79</c:f>
              <c:numCache>
                <c:formatCode>"$"#,##0</c:formatCode>
                <c:ptCount val="5"/>
                <c:pt idx="0">
                  <c:v>1285.7940994048665</c:v>
                </c:pt>
                <c:pt idx="1">
                  <c:v>1307.6726090233399</c:v>
                </c:pt>
                <c:pt idx="2">
                  <c:v>1326.6736906513556</c:v>
                </c:pt>
                <c:pt idx="3">
                  <c:v>1343.1914062320507</c:v>
                </c:pt>
                <c:pt idx="4">
                  <c:v>1357.5703647314417</c:v>
                </c:pt>
              </c:numCache>
            </c:numRef>
          </c:val>
        </c:ser>
        <c:dLbls>
          <c:showLegendKey val="0"/>
          <c:showVal val="0"/>
          <c:showCatName val="0"/>
          <c:showSerName val="0"/>
          <c:showPercent val="0"/>
          <c:showBubbleSize val="0"/>
        </c:dLbls>
        <c:gapWidth val="150"/>
        <c:axId val="127237600"/>
        <c:axId val="127239560"/>
      </c:barChart>
      <c:catAx>
        <c:axId val="127237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US"/>
                  <a:t>Annual cow culling rate, %</a:t>
                </a:r>
              </a:p>
            </c:rich>
          </c:tx>
          <c:layout>
            <c:manualLayout>
              <c:xMode val="edge"/>
              <c:yMode val="edge"/>
              <c:x val="0.41535468066491688"/>
              <c:y val="0.9159917205471267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127239560"/>
        <c:crosses val="autoZero"/>
        <c:auto val="1"/>
        <c:lblAlgn val="ctr"/>
        <c:lblOffset val="100"/>
        <c:tickLblSkip val="1"/>
        <c:tickMarkSkip val="1"/>
        <c:noMultiLvlLbl val="0"/>
      </c:catAx>
      <c:valAx>
        <c:axId val="127239560"/>
        <c:scaling>
          <c:orientation val="minMax"/>
          <c:min val="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NPV of replacement, $/head</a:t>
                </a:r>
              </a:p>
            </c:rich>
          </c:tx>
          <c:layout>
            <c:manualLayout>
              <c:xMode val="edge"/>
              <c:yMode val="edge"/>
              <c:x val="1.6273965754280716E-2"/>
              <c:y val="0.258110378479112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127237600"/>
        <c:crosses val="autoZero"/>
        <c:crossBetween val="between"/>
      </c:valAx>
      <c:spPr>
        <a:solidFill>
          <a:srgbClr val="FFFFFF"/>
        </a:solidFill>
        <a:ln w="19050">
          <a:solidFill>
            <a:srgbClr val="000000"/>
          </a:solidFill>
          <a:prstDash val="solid"/>
        </a:ln>
      </c:spPr>
    </c:plotArea>
    <c:legend>
      <c:legendPos val="r"/>
      <c:layout>
        <c:manualLayout>
          <c:xMode val="edge"/>
          <c:yMode val="edge"/>
          <c:x val="0.36761964754405696"/>
          <c:y val="0.71273911899223985"/>
          <c:w val="0.40190556180477444"/>
          <c:h val="9.214120592649499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2222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82826</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707209"/>
          <a:ext cx="2843005" cy="614991"/>
        </a:xfrm>
        <a:prstGeom prst="rect">
          <a:avLst/>
        </a:prstGeom>
      </xdr:spPr>
    </xdr:pic>
    <xdr:clientData/>
  </xdr:twoCellAnchor>
  <xdr:twoCellAnchor editAs="oneCell">
    <xdr:from>
      <xdr:col>1</xdr:col>
      <xdr:colOff>1</xdr:colOff>
      <xdr:row>8</xdr:row>
      <xdr:rowOff>20707</xdr:rowOff>
    </xdr:from>
    <xdr:to>
      <xdr:col>12</xdr:col>
      <xdr:colOff>2469</xdr:colOff>
      <xdr:row>25</xdr:row>
      <xdr:rowOff>155299</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895" b="36979"/>
        <a:stretch/>
      </xdr:blipFill>
      <xdr:spPr>
        <a:xfrm>
          <a:off x="238126" y="1449457"/>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21</xdr:row>
      <xdr:rowOff>9525</xdr:rowOff>
    </xdr:from>
    <xdr:to>
      <xdr:col>7</xdr:col>
      <xdr:colOff>95250</xdr:colOff>
      <xdr:row>39</xdr:row>
      <xdr:rowOff>0</xdr:rowOff>
    </xdr:to>
    <xdr:graphicFrame macro="">
      <xdr:nvGraphicFramePr>
        <xdr:cNvPr id="482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40</xdr:row>
      <xdr:rowOff>9525</xdr:rowOff>
    </xdr:from>
    <xdr:to>
      <xdr:col>7</xdr:col>
      <xdr:colOff>95250</xdr:colOff>
      <xdr:row>58</xdr:row>
      <xdr:rowOff>0</xdr:rowOff>
    </xdr:to>
    <xdr:graphicFrame macro="">
      <xdr:nvGraphicFramePr>
        <xdr:cNvPr id="4823" name="Chart 4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314325</xdr:colOff>
      <xdr:row>21</xdr:row>
      <xdr:rowOff>9525</xdr:rowOff>
    </xdr:from>
    <xdr:to>
      <xdr:col>13</xdr:col>
      <xdr:colOff>0</xdr:colOff>
      <xdr:row>39</xdr:row>
      <xdr:rowOff>9525</xdr:rowOff>
    </xdr:to>
    <xdr:graphicFrame macro="">
      <xdr:nvGraphicFramePr>
        <xdr:cNvPr id="4824" name="Chart 4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8</xdr:col>
          <xdr:colOff>781050</xdr:colOff>
          <xdr:row>18</xdr:row>
          <xdr:rowOff>57150</xdr:rowOff>
        </xdr:from>
        <xdr:to>
          <xdr:col>10</xdr:col>
          <xdr:colOff>590550</xdr:colOff>
          <xdr:row>19</xdr:row>
          <xdr:rowOff>114300</xdr:rowOff>
        </xdr:to>
        <xdr:sp macro="" textlink="">
          <xdr:nvSpPr>
            <xdr:cNvPr id="4513" name="Button 417" hidden="1">
              <a:extLst>
                <a:ext uri="{63B3BB69-23CF-44E3-9099-C40C66FF867C}">
                  <a14:compatExt spid="_x0000_s451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114300</xdr:colOff>
      <xdr:row>30</xdr:row>
      <xdr:rowOff>9525</xdr:rowOff>
    </xdr:from>
    <xdr:to>
      <xdr:col>14</xdr:col>
      <xdr:colOff>742950</xdr:colOff>
      <xdr:row>43</xdr:row>
      <xdr:rowOff>266700</xdr:rowOff>
    </xdr:to>
    <xdr:graphicFrame macro="">
      <xdr:nvGraphicFramePr>
        <xdr:cNvPr id="3279"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13</xdr:col>
          <xdr:colOff>123825</xdr:colOff>
          <xdr:row>0</xdr:row>
          <xdr:rowOff>95250</xdr:rowOff>
        </xdr:from>
        <xdr:to>
          <xdr:col>14</xdr:col>
          <xdr:colOff>533400</xdr:colOff>
          <xdr:row>1</xdr:row>
          <xdr:rowOff>123825</xdr:rowOff>
        </xdr:to>
        <xdr:sp macro="" textlink="">
          <xdr:nvSpPr>
            <xdr:cNvPr id="3098" name="Button 26" hidden="1">
              <a:extLst>
                <a:ext uri="{63B3BB69-23CF-44E3-9099-C40C66FF867C}">
                  <a14:compatExt spid="_x0000_s30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xdr:from>
      <xdr:col>8</xdr:col>
      <xdr:colOff>114300</xdr:colOff>
      <xdr:row>56</xdr:row>
      <xdr:rowOff>9525</xdr:rowOff>
    </xdr:from>
    <xdr:to>
      <xdr:col>14</xdr:col>
      <xdr:colOff>742950</xdr:colOff>
      <xdr:row>69</xdr:row>
      <xdr:rowOff>266700</xdr:rowOff>
    </xdr:to>
    <xdr:graphicFrame macro="">
      <xdr:nvGraphicFramePr>
        <xdr:cNvPr id="328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gmanager.info/livestock/budgets/production/beef/KSU-BeefReplacements_(GT%2011%201%2013)_10PercSensitivities--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rices and weights"/>
      <sheetName val="Net present value"/>
    </sheetNames>
    <sheetDataSet>
      <sheetData sheetId="0"/>
      <sheetData sheetId="1">
        <row r="7">
          <cell r="B7">
            <v>2014</v>
          </cell>
          <cell r="C7">
            <v>169.13</v>
          </cell>
          <cell r="D7">
            <v>74.417199999999994</v>
          </cell>
          <cell r="E7">
            <v>164.13</v>
          </cell>
          <cell r="F7">
            <v>74.417199999999994</v>
          </cell>
          <cell r="G7">
            <v>177.5865</v>
          </cell>
          <cell r="H7">
            <v>74.417199999999994</v>
          </cell>
          <cell r="J7">
            <v>1</v>
          </cell>
          <cell r="K7">
            <v>542</v>
          </cell>
          <cell r="L7">
            <v>562</v>
          </cell>
          <cell r="M7">
            <v>537</v>
          </cell>
        </row>
        <row r="8">
          <cell r="B8">
            <v>2015</v>
          </cell>
          <cell r="C8">
            <v>173.65</v>
          </cell>
          <cell r="D8">
            <v>76.406000000000006</v>
          </cell>
          <cell r="E8">
            <v>164.13</v>
          </cell>
          <cell r="F8">
            <v>74.417199999999994</v>
          </cell>
          <cell r="G8">
            <v>182.33250000000001</v>
          </cell>
          <cell r="H8">
            <v>76.406000000000006</v>
          </cell>
          <cell r="J8">
            <v>2</v>
          </cell>
          <cell r="K8">
            <v>552</v>
          </cell>
          <cell r="L8">
            <v>562</v>
          </cell>
          <cell r="M8">
            <v>552</v>
          </cell>
        </row>
        <row r="9">
          <cell r="B9">
            <v>2016</v>
          </cell>
          <cell r="C9">
            <v>174.34</v>
          </cell>
          <cell r="D9">
            <v>76.709600000000009</v>
          </cell>
          <cell r="E9">
            <v>164.13</v>
          </cell>
          <cell r="F9">
            <v>74.417199999999994</v>
          </cell>
          <cell r="G9">
            <v>183.05700000000002</v>
          </cell>
          <cell r="H9">
            <v>76.709600000000009</v>
          </cell>
          <cell r="J9">
            <v>3</v>
          </cell>
          <cell r="K9">
            <v>562</v>
          </cell>
          <cell r="L9">
            <v>562</v>
          </cell>
          <cell r="M9">
            <v>567</v>
          </cell>
        </row>
        <row r="10">
          <cell r="B10">
            <v>2017</v>
          </cell>
          <cell r="C10">
            <v>167.86</v>
          </cell>
          <cell r="D10">
            <v>73.858400000000003</v>
          </cell>
          <cell r="E10">
            <v>164.13</v>
          </cell>
          <cell r="F10">
            <v>74.417199999999994</v>
          </cell>
          <cell r="G10">
            <v>176.25300000000001</v>
          </cell>
          <cell r="H10">
            <v>73.858400000000003</v>
          </cell>
          <cell r="J10">
            <v>4</v>
          </cell>
          <cell r="K10">
            <v>567</v>
          </cell>
          <cell r="L10">
            <v>562</v>
          </cell>
          <cell r="M10">
            <v>582</v>
          </cell>
        </row>
        <row r="11">
          <cell r="B11">
            <v>2018</v>
          </cell>
          <cell r="C11">
            <v>163.47</v>
          </cell>
          <cell r="D11">
            <v>71.9268</v>
          </cell>
          <cell r="E11">
            <v>164.13</v>
          </cell>
          <cell r="F11">
            <v>74.417199999999994</v>
          </cell>
          <cell r="G11">
            <v>171.64350000000002</v>
          </cell>
          <cell r="H11">
            <v>71.9268</v>
          </cell>
          <cell r="J11">
            <v>5</v>
          </cell>
          <cell r="K11">
            <v>572</v>
          </cell>
          <cell r="L11">
            <v>562</v>
          </cell>
          <cell r="M11">
            <v>582</v>
          </cell>
        </row>
        <row r="12">
          <cell r="B12">
            <v>2019</v>
          </cell>
          <cell r="C12">
            <v>165.08</v>
          </cell>
          <cell r="D12">
            <v>72.635200000000012</v>
          </cell>
          <cell r="E12">
            <v>164.13</v>
          </cell>
          <cell r="F12">
            <v>74.417199999999994</v>
          </cell>
          <cell r="G12">
            <v>173.33400000000003</v>
          </cell>
          <cell r="H12">
            <v>72.635200000000012</v>
          </cell>
          <cell r="J12">
            <v>6</v>
          </cell>
          <cell r="K12">
            <v>572</v>
          </cell>
          <cell r="L12">
            <v>562</v>
          </cell>
          <cell r="M12">
            <v>577</v>
          </cell>
        </row>
        <row r="13">
          <cell r="B13">
            <v>2020</v>
          </cell>
          <cell r="C13">
            <v>165.52</v>
          </cell>
          <cell r="D13">
            <v>72.828800000000001</v>
          </cell>
          <cell r="E13">
            <v>164.13</v>
          </cell>
          <cell r="F13">
            <v>74.417199999999994</v>
          </cell>
          <cell r="G13">
            <v>173.79600000000002</v>
          </cell>
          <cell r="H13">
            <v>72.828800000000001</v>
          </cell>
          <cell r="J13">
            <v>7</v>
          </cell>
          <cell r="K13">
            <v>567</v>
          </cell>
          <cell r="L13">
            <v>562</v>
          </cell>
          <cell r="M13">
            <v>567</v>
          </cell>
        </row>
        <row r="14">
          <cell r="B14">
            <v>2021</v>
          </cell>
          <cell r="C14">
            <v>168.23</v>
          </cell>
          <cell r="D14">
            <v>74.021199999999993</v>
          </cell>
          <cell r="E14">
            <v>164.13</v>
          </cell>
          <cell r="F14">
            <v>74.417199999999994</v>
          </cell>
          <cell r="G14">
            <v>176.64150000000001</v>
          </cell>
          <cell r="H14">
            <v>74.021199999999993</v>
          </cell>
          <cell r="J14">
            <v>8</v>
          </cell>
          <cell r="K14">
            <v>565</v>
          </cell>
          <cell r="L14">
            <v>562</v>
          </cell>
          <cell r="M14">
            <v>557</v>
          </cell>
        </row>
        <row r="15">
          <cell r="B15">
            <v>2022</v>
          </cell>
          <cell r="C15">
            <v>171.47</v>
          </cell>
          <cell r="D15">
            <v>75.446799999999996</v>
          </cell>
          <cell r="E15">
            <v>164.13</v>
          </cell>
          <cell r="F15">
            <v>74.417199999999994</v>
          </cell>
          <cell r="G15">
            <v>180.04349999999999</v>
          </cell>
          <cell r="H15">
            <v>75.446799999999996</v>
          </cell>
          <cell r="J15">
            <v>9</v>
          </cell>
          <cell r="K15">
            <v>562</v>
          </cell>
          <cell r="L15">
            <v>562</v>
          </cell>
          <cell r="M15">
            <v>552</v>
          </cell>
        </row>
        <row r="16">
          <cell r="B16">
            <v>2023</v>
          </cell>
          <cell r="C16">
            <v>171.47</v>
          </cell>
          <cell r="D16">
            <v>75.446799999999996</v>
          </cell>
          <cell r="E16">
            <v>164.13</v>
          </cell>
          <cell r="F16">
            <v>74.417199999999994</v>
          </cell>
          <cell r="G16">
            <v>180.04349999999999</v>
          </cell>
          <cell r="H16">
            <v>75.446799999999996</v>
          </cell>
          <cell r="J16">
            <v>10</v>
          </cell>
          <cell r="K16">
            <v>559</v>
          </cell>
          <cell r="L16">
            <v>562</v>
          </cell>
          <cell r="M16">
            <v>547</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tonsor@k-state.ed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X50"/>
  <sheetViews>
    <sheetView showGridLines="0" tabSelected="1" topLeftCell="A16" zoomScale="92" zoomScaleNormal="100" workbookViewId="0">
      <selection activeCell="P57" sqref="P57"/>
    </sheetView>
  </sheetViews>
  <sheetFormatPr defaultRowHeight="12.75"/>
  <cols>
    <col min="1" max="1" width="2.77734375" style="216" customWidth="1"/>
    <col min="2" max="4" width="8.88671875" style="216"/>
    <col min="5" max="5" width="7" style="216" customWidth="1"/>
    <col min="6" max="11" width="8.88671875" style="216"/>
    <col min="12" max="12" width="18.109375" style="216" customWidth="1"/>
    <col min="13" max="13" width="2.88671875" style="216" customWidth="1"/>
    <col min="14" max="16384" width="8.88671875" style="216"/>
  </cols>
  <sheetData>
    <row r="1" spans="2:24" ht="10.5" customHeight="1" thickBot="1"/>
    <row r="2" spans="2:24" ht="7.5" customHeight="1">
      <c r="B2" s="217"/>
      <c r="C2" s="218"/>
      <c r="D2" s="218"/>
      <c r="E2" s="218"/>
      <c r="F2" s="218"/>
      <c r="G2" s="218"/>
      <c r="H2" s="218"/>
      <c r="I2" s="218"/>
      <c r="J2" s="218"/>
      <c r="K2" s="218"/>
      <c r="L2" s="219"/>
    </row>
    <row r="3" spans="2:24" ht="26.25">
      <c r="B3" s="220" t="s">
        <v>95</v>
      </c>
      <c r="C3" s="221"/>
      <c r="D3" s="221"/>
      <c r="E3" s="221"/>
      <c r="F3" s="221"/>
      <c r="G3" s="221"/>
      <c r="H3" s="222"/>
      <c r="I3" s="222"/>
      <c r="J3" s="223"/>
      <c r="K3" s="223"/>
      <c r="L3" s="224"/>
    </row>
    <row r="4" spans="2:24" ht="18" customHeight="1">
      <c r="B4" s="225"/>
      <c r="C4" s="226"/>
      <c r="D4" s="227"/>
      <c r="E4" s="227"/>
      <c r="F4" s="228"/>
      <c r="G4" s="228"/>
      <c r="H4" s="222"/>
      <c r="I4" s="222"/>
      <c r="J4" s="223"/>
      <c r="K4" s="223"/>
      <c r="L4" s="224"/>
    </row>
    <row r="5" spans="2:24" ht="15.75" customHeight="1">
      <c r="B5" s="258" t="s">
        <v>96</v>
      </c>
      <c r="C5" s="259"/>
      <c r="D5" s="259"/>
      <c r="E5" s="259"/>
      <c r="F5" s="259"/>
      <c r="G5" s="259"/>
      <c r="H5" s="259"/>
      <c r="I5" s="259"/>
      <c r="J5" s="223"/>
      <c r="K5" s="223"/>
      <c r="L5" s="224"/>
      <c r="N5" s="261"/>
      <c r="O5" s="262"/>
      <c r="P5" s="262"/>
      <c r="Q5" s="262"/>
      <c r="R5" s="262"/>
      <c r="S5" s="262"/>
      <c r="T5" s="262"/>
      <c r="U5" s="262"/>
      <c r="V5" s="262"/>
      <c r="W5" s="262"/>
      <c r="X5" s="262"/>
    </row>
    <row r="6" spans="2:24" ht="15.75">
      <c r="B6" s="260"/>
      <c r="C6" s="259"/>
      <c r="D6" s="259"/>
      <c r="E6" s="259"/>
      <c r="F6" s="259"/>
      <c r="G6" s="259"/>
      <c r="H6" s="259"/>
      <c r="I6" s="259"/>
      <c r="J6" s="223"/>
      <c r="K6" s="223"/>
      <c r="L6" s="224"/>
      <c r="N6" s="262"/>
      <c r="O6" s="262"/>
      <c r="P6" s="262"/>
      <c r="Q6" s="262"/>
      <c r="R6" s="262"/>
      <c r="S6" s="262"/>
      <c r="T6" s="262"/>
      <c r="U6" s="262"/>
      <c r="V6" s="262"/>
      <c r="W6" s="262"/>
      <c r="X6" s="262"/>
    </row>
    <row r="7" spans="2:24" ht="5.25" customHeight="1">
      <c r="B7" s="229"/>
      <c r="C7" s="230"/>
      <c r="D7" s="230"/>
      <c r="E7" s="230"/>
      <c r="F7" s="230"/>
      <c r="G7" s="230"/>
      <c r="H7" s="230"/>
      <c r="I7" s="223"/>
      <c r="J7" s="223"/>
      <c r="K7" s="231"/>
      <c r="L7" s="232"/>
    </row>
    <row r="8" spans="2:24" ht="13.5" customHeight="1" thickBot="1">
      <c r="B8" s="233"/>
      <c r="C8" s="263"/>
      <c r="D8" s="264"/>
      <c r="E8" s="265"/>
      <c r="F8" s="266"/>
      <c r="G8" s="234"/>
      <c r="H8" s="234"/>
      <c r="I8" s="234"/>
      <c r="J8" s="234"/>
      <c r="K8" s="235"/>
      <c r="L8" s="236" t="s">
        <v>97</v>
      </c>
      <c r="N8" s="267"/>
    </row>
    <row r="9" spans="2:24" ht="9.75" customHeight="1">
      <c r="B9" s="237"/>
      <c r="C9" s="237"/>
      <c r="D9" s="237"/>
      <c r="E9" s="237"/>
      <c r="F9" s="237"/>
      <c r="G9" s="238"/>
      <c r="H9" s="237"/>
      <c r="I9" s="237"/>
      <c r="J9" s="237"/>
      <c r="K9" s="237"/>
      <c r="L9" s="237"/>
      <c r="N9" s="267"/>
    </row>
    <row r="28" spans="2:12" ht="15.75">
      <c r="B28" s="239" t="s">
        <v>98</v>
      </c>
      <c r="C28" s="240"/>
      <c r="D28" s="240"/>
      <c r="E28" s="240"/>
      <c r="F28" s="241"/>
      <c r="G28" s="241"/>
      <c r="H28" s="241"/>
      <c r="I28" s="241"/>
      <c r="J28" s="241"/>
      <c r="K28" s="241"/>
      <c r="L28" s="241"/>
    </row>
    <row r="29" spans="2:12">
      <c r="B29" s="268" t="s">
        <v>99</v>
      </c>
      <c r="C29" s="268"/>
      <c r="D29" s="268"/>
      <c r="E29" s="268"/>
      <c r="F29" s="268"/>
      <c r="G29" s="268"/>
      <c r="H29" s="268"/>
      <c r="I29" s="268"/>
      <c r="J29" s="268"/>
      <c r="K29" s="268"/>
      <c r="L29" s="268"/>
    </row>
    <row r="30" spans="2:12" ht="35.25" customHeight="1">
      <c r="B30" s="268"/>
      <c r="C30" s="268"/>
      <c r="D30" s="268"/>
      <c r="E30" s="268"/>
      <c r="F30" s="268"/>
      <c r="G30" s="268"/>
      <c r="H30" s="268"/>
      <c r="I30" s="268"/>
      <c r="J30" s="268"/>
      <c r="K30" s="268"/>
      <c r="L30" s="268"/>
    </row>
    <row r="31" spans="2:12" ht="19.5" customHeight="1">
      <c r="B31" s="251" t="s">
        <v>100</v>
      </c>
      <c r="C31" s="252"/>
      <c r="D31" s="252"/>
      <c r="E31" s="252"/>
      <c r="F31" s="242"/>
      <c r="G31" s="243"/>
      <c r="H31" s="242"/>
      <c r="I31" s="242"/>
      <c r="J31" s="242"/>
      <c r="K31" s="242"/>
      <c r="L31" s="242"/>
    </row>
    <row r="32" spans="2:12" ht="15.75">
      <c r="B32" s="240" t="s">
        <v>101</v>
      </c>
      <c r="C32" s="240"/>
      <c r="D32" s="240"/>
      <c r="E32" s="240"/>
      <c r="F32" s="241"/>
      <c r="G32" s="244"/>
      <c r="H32" s="241"/>
      <c r="I32" s="241"/>
      <c r="J32" s="241"/>
      <c r="K32" s="241"/>
      <c r="L32" s="241"/>
    </row>
    <row r="33" spans="2:17" ht="12.75" customHeight="1">
      <c r="B33" s="253" t="s">
        <v>102</v>
      </c>
      <c r="C33" s="254"/>
      <c r="D33" s="254"/>
      <c r="E33" s="254"/>
      <c r="F33" s="254"/>
      <c r="G33" s="254"/>
      <c r="H33" s="254"/>
      <c r="I33" s="254"/>
      <c r="J33" s="254"/>
      <c r="K33" s="254"/>
      <c r="L33" s="254"/>
    </row>
    <row r="34" spans="2:17" ht="7.5" customHeight="1">
      <c r="B34" s="254"/>
      <c r="C34" s="254"/>
      <c r="D34" s="254"/>
      <c r="E34" s="254"/>
      <c r="F34" s="254"/>
      <c r="G34" s="254"/>
      <c r="H34" s="254"/>
      <c r="I34" s="254"/>
      <c r="J34" s="254"/>
      <c r="K34" s="254"/>
      <c r="L34" s="254"/>
    </row>
    <row r="35" spans="2:17" ht="12.75" customHeight="1">
      <c r="B35" s="254"/>
      <c r="C35" s="254"/>
      <c r="D35" s="254"/>
      <c r="E35" s="254"/>
      <c r="F35" s="254"/>
      <c r="G35" s="254"/>
      <c r="H35" s="254"/>
      <c r="I35" s="254"/>
      <c r="J35" s="254"/>
      <c r="K35" s="254"/>
      <c r="L35" s="254"/>
    </row>
    <row r="36" spans="2:17" ht="12.75" customHeight="1">
      <c r="B36" s="254"/>
      <c r="C36" s="254"/>
      <c r="D36" s="254"/>
      <c r="E36" s="254"/>
      <c r="F36" s="254"/>
      <c r="G36" s="254"/>
      <c r="H36" s="254"/>
      <c r="I36" s="254"/>
      <c r="J36" s="254"/>
      <c r="K36" s="254"/>
      <c r="L36" s="254"/>
    </row>
    <row r="37" spans="2:17">
      <c r="B37" s="254"/>
      <c r="C37" s="254"/>
      <c r="D37" s="254"/>
      <c r="E37" s="254"/>
      <c r="F37" s="254"/>
      <c r="G37" s="254"/>
      <c r="H37" s="254"/>
      <c r="I37" s="254"/>
      <c r="J37" s="254"/>
      <c r="K37" s="254"/>
      <c r="L37" s="254"/>
    </row>
    <row r="38" spans="2:17" ht="15.75" hidden="1">
      <c r="B38" s="245"/>
      <c r="C38" s="245"/>
      <c r="D38" s="245"/>
      <c r="E38" s="245"/>
      <c r="F38" s="245"/>
      <c r="G38" s="245"/>
      <c r="H38" s="245"/>
      <c r="I38" s="245"/>
      <c r="J38" s="245"/>
      <c r="K38" s="245"/>
      <c r="L38" s="245"/>
    </row>
    <row r="39" spans="2:17" ht="15.75">
      <c r="B39" s="245"/>
      <c r="C39" s="245"/>
      <c r="D39" s="245"/>
      <c r="E39" s="245"/>
      <c r="F39" s="245"/>
      <c r="G39" s="245"/>
      <c r="H39" s="245"/>
      <c r="I39" s="245"/>
      <c r="J39" s="245"/>
      <c r="K39" s="245"/>
      <c r="L39" s="245"/>
    </row>
    <row r="40" spans="2:17" ht="15.75">
      <c r="B40" s="246" t="s">
        <v>103</v>
      </c>
      <c r="C40" s="241"/>
      <c r="D40" s="242"/>
      <c r="E40" s="242"/>
      <c r="F40" s="242"/>
      <c r="G40" s="242"/>
      <c r="H40" s="242"/>
      <c r="I40" s="242"/>
      <c r="J40" s="242"/>
      <c r="K40" s="242"/>
      <c r="L40" s="242"/>
    </row>
    <row r="41" spans="2:17" ht="20.25" customHeight="1">
      <c r="B41" s="285" t="s">
        <v>108</v>
      </c>
      <c r="C41" s="285"/>
      <c r="D41" s="285"/>
      <c r="E41" s="285"/>
      <c r="F41" s="286"/>
      <c r="G41" s="286"/>
      <c r="H41" s="285" t="s">
        <v>109</v>
      </c>
      <c r="I41" s="285"/>
      <c r="J41" s="285"/>
      <c r="K41" s="285"/>
      <c r="L41" s="285"/>
    </row>
    <row r="42" spans="2:17" ht="3.75" customHeight="1">
      <c r="B42" s="292"/>
      <c r="C42" s="292"/>
      <c r="D42" s="292"/>
      <c r="E42" s="292"/>
      <c r="F42" s="286"/>
      <c r="G42" s="286"/>
      <c r="H42" s="292"/>
      <c r="I42" s="292"/>
      <c r="J42" s="292"/>
      <c r="K42" s="292"/>
      <c r="L42" s="292"/>
    </row>
    <row r="43" spans="2:17" ht="12.75" customHeight="1">
      <c r="B43" s="287" t="s">
        <v>59</v>
      </c>
      <c r="C43" s="287"/>
      <c r="D43" s="287"/>
      <c r="E43" s="288"/>
      <c r="F43" s="287"/>
      <c r="G43" s="287"/>
      <c r="H43" s="287" t="s">
        <v>110</v>
      </c>
      <c r="I43" s="287"/>
      <c r="J43" s="287"/>
      <c r="K43" s="287"/>
      <c r="L43" s="287"/>
    </row>
    <row r="44" spans="2:17" ht="15.75">
      <c r="B44" s="287" t="s">
        <v>91</v>
      </c>
      <c r="C44" s="287"/>
      <c r="D44" s="287"/>
      <c r="E44" s="288"/>
      <c r="F44" s="287"/>
      <c r="G44" s="287"/>
      <c r="H44" s="287" t="s">
        <v>111</v>
      </c>
      <c r="I44" s="287"/>
      <c r="J44" s="287"/>
      <c r="K44" s="287"/>
      <c r="L44" s="287"/>
      <c r="P44" s="247"/>
      <c r="Q44" s="247"/>
    </row>
    <row r="45" spans="2:17" ht="15.75">
      <c r="B45" s="287" t="s">
        <v>104</v>
      </c>
      <c r="C45" s="287"/>
      <c r="D45" s="287"/>
      <c r="E45" s="287"/>
      <c r="F45" s="287"/>
      <c r="G45" s="287"/>
      <c r="H45" s="287" t="s">
        <v>104</v>
      </c>
      <c r="I45" s="287"/>
      <c r="J45" s="287"/>
      <c r="K45" s="287"/>
      <c r="L45" s="287"/>
      <c r="P45" s="247"/>
      <c r="Q45" s="247"/>
    </row>
    <row r="46" spans="2:17" ht="15.75">
      <c r="B46" s="287" t="s">
        <v>31</v>
      </c>
      <c r="C46" s="287"/>
      <c r="D46" s="287"/>
      <c r="E46" s="287"/>
      <c r="F46" s="287"/>
      <c r="G46" s="287"/>
      <c r="H46" s="287" t="s">
        <v>31</v>
      </c>
      <c r="I46" s="287"/>
      <c r="J46" s="287"/>
      <c r="K46" s="287"/>
      <c r="L46" s="287"/>
      <c r="P46" s="247"/>
      <c r="Q46" s="247"/>
    </row>
    <row r="47" spans="2:17" ht="15.75">
      <c r="B47" s="256" t="s">
        <v>105</v>
      </c>
      <c r="C47" s="289"/>
      <c r="D47" s="289"/>
      <c r="E47" s="287"/>
      <c r="F47" s="287"/>
      <c r="G47" s="257"/>
      <c r="H47" s="289"/>
      <c r="I47" s="289"/>
      <c r="J47" s="287"/>
      <c r="K47" s="287"/>
      <c r="L47" s="287"/>
      <c r="P47" s="255"/>
      <c r="Q47" s="255"/>
    </row>
    <row r="48" spans="2:17" ht="15.75">
      <c r="B48" s="248" t="s">
        <v>106</v>
      </c>
      <c r="C48" s="290"/>
      <c r="D48" s="291"/>
      <c r="E48" s="287"/>
      <c r="F48" s="287"/>
      <c r="G48" s="249"/>
      <c r="H48" s="291"/>
      <c r="I48" s="291"/>
      <c r="J48" s="287"/>
      <c r="K48" s="287"/>
      <c r="L48" s="287"/>
    </row>
    <row r="49" spans="2:12">
      <c r="B49" s="250" t="s">
        <v>107</v>
      </c>
      <c r="C49" s="250"/>
      <c r="D49" s="250"/>
      <c r="E49" s="250"/>
      <c r="F49" s="250"/>
      <c r="G49" s="250"/>
      <c r="H49" s="250"/>
      <c r="I49" s="250"/>
      <c r="J49" s="250"/>
      <c r="K49" s="250"/>
      <c r="L49" s="250"/>
    </row>
    <row r="50" spans="2:12" ht="16.5" customHeight="1">
      <c r="B50" s="250"/>
      <c r="C50" s="250"/>
      <c r="D50" s="250"/>
      <c r="E50" s="250"/>
      <c r="F50" s="250"/>
      <c r="G50" s="250"/>
      <c r="H50" s="250"/>
      <c r="I50" s="250"/>
      <c r="J50" s="250"/>
      <c r="K50" s="250"/>
      <c r="L50" s="250"/>
    </row>
  </sheetData>
  <sheetProtection algorithmName="SHA-512" hashValue="0mhp7vReYemuZyUU7iWheKjBZd3zJyn39o6iS0wE9GoJdqMBNyXP9KwTEvdzLNy/po6bEteqeCda/sEoofnuFg==" saltValue="tc6IlSLvEeK6lBGrBBQe/Q==" spinCount="100000" sheet="1" objects="1" scenarios="1"/>
  <mergeCells count="14">
    <mergeCell ref="P47:Q47"/>
    <mergeCell ref="B5:I6"/>
    <mergeCell ref="N5:X6"/>
    <mergeCell ref="C8:D8"/>
    <mergeCell ref="E8:F8"/>
    <mergeCell ref="N8:N9"/>
    <mergeCell ref="B29:L30"/>
    <mergeCell ref="B41:E41"/>
    <mergeCell ref="H41:L41"/>
    <mergeCell ref="B47:D47"/>
    <mergeCell ref="G47:I47"/>
    <mergeCell ref="B49:L50"/>
    <mergeCell ref="B31:E31"/>
    <mergeCell ref="B33:L37"/>
  </mergeCells>
  <hyperlinks>
    <hyperlink ref="B47" r:id="rId1"/>
  </hyperlinks>
  <printOptions horizontalCentered="1"/>
  <pageMargins left="0.75" right="0.75" top="1" bottom="1" header="0.5" footer="0.5"/>
  <pageSetup scale="74" orientation="portrait" r:id="rId2"/>
  <headerFooter alignWithMargins="0">
    <oddHeader>&amp;R&amp;D</oddHeader>
    <oddFooter>&amp;A</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A686"/>
  <sheetViews>
    <sheetView workbookViewId="0">
      <selection activeCell="O9" sqref="O9"/>
    </sheetView>
  </sheetViews>
  <sheetFormatPr defaultRowHeight="15" customHeight="1"/>
  <cols>
    <col min="1" max="1" width="4.77734375" style="4" customWidth="1"/>
    <col min="2" max="10" width="9.21875" style="1" customWidth="1"/>
    <col min="11" max="13" width="10.77734375" style="1" customWidth="1"/>
    <col min="14" max="16384" width="8.88671875" style="1"/>
  </cols>
  <sheetData>
    <row r="1" spans="1:13" ht="15" customHeight="1">
      <c r="A1" s="11"/>
      <c r="B1" s="2"/>
      <c r="C1" s="2"/>
      <c r="D1" s="2"/>
      <c r="E1" s="2"/>
      <c r="F1" s="2"/>
      <c r="G1" s="2"/>
      <c r="H1" s="2"/>
      <c r="I1" s="2"/>
      <c r="J1" s="2"/>
      <c r="K1" s="2"/>
      <c r="L1" s="2"/>
      <c r="M1" s="2"/>
    </row>
    <row r="2" spans="1:13" ht="15" customHeight="1" thickBot="1">
      <c r="A2" s="11"/>
      <c r="B2" s="271" t="s">
        <v>43</v>
      </c>
      <c r="C2" s="272"/>
      <c r="D2" s="272"/>
      <c r="E2" s="273"/>
      <c r="F2" s="273"/>
      <c r="G2" s="273"/>
      <c r="H2" s="273"/>
      <c r="I2" s="2"/>
      <c r="J2" s="271" t="s">
        <v>42</v>
      </c>
      <c r="K2" s="272"/>
      <c r="L2" s="272"/>
      <c r="M2" s="272"/>
    </row>
    <row r="3" spans="1:13" ht="15" customHeight="1">
      <c r="A3" s="11"/>
      <c r="B3" s="12"/>
      <c r="C3" s="13"/>
      <c r="D3" s="13"/>
      <c r="E3" s="14"/>
      <c r="F3" s="14"/>
      <c r="G3" s="103"/>
      <c r="H3" s="103"/>
      <c r="I3" s="2"/>
      <c r="J3" s="14"/>
      <c r="K3" s="14"/>
      <c r="L3" s="14"/>
      <c r="M3" s="14"/>
    </row>
    <row r="4" spans="1:13" ht="15" customHeight="1">
      <c r="A4" s="11"/>
      <c r="B4" s="12"/>
      <c r="C4" s="15" t="s">
        <v>60</v>
      </c>
      <c r="D4" s="15"/>
      <c r="E4" s="15" t="s">
        <v>61</v>
      </c>
      <c r="F4" s="15"/>
      <c r="G4" s="15" t="s">
        <v>62</v>
      </c>
      <c r="H4" s="15"/>
      <c r="I4" s="2"/>
      <c r="J4" s="14"/>
      <c r="K4" s="16" t="s">
        <v>24</v>
      </c>
      <c r="L4" s="16" t="s">
        <v>25</v>
      </c>
      <c r="M4" s="16" t="s">
        <v>32</v>
      </c>
    </row>
    <row r="5" spans="1:13" ht="15" customHeight="1" thickBot="1">
      <c r="A5" s="11"/>
      <c r="B5" s="12"/>
      <c r="C5" s="269" t="s">
        <v>93</v>
      </c>
      <c r="D5" s="270"/>
      <c r="E5" s="269" t="s">
        <v>94</v>
      </c>
      <c r="F5" s="270"/>
      <c r="G5" s="269" t="s">
        <v>92</v>
      </c>
      <c r="H5" s="270"/>
      <c r="I5" s="2"/>
      <c r="J5" s="17"/>
      <c r="K5" s="9" t="s">
        <v>39</v>
      </c>
      <c r="L5" s="9" t="s">
        <v>37</v>
      </c>
      <c r="M5" s="9" t="s">
        <v>38</v>
      </c>
    </row>
    <row r="6" spans="1:13" ht="15" customHeight="1" thickTop="1">
      <c r="A6" s="11"/>
      <c r="B6" s="18" t="s">
        <v>5</v>
      </c>
      <c r="C6" s="18" t="s">
        <v>3</v>
      </c>
      <c r="D6" s="18" t="s">
        <v>36</v>
      </c>
      <c r="E6" s="18" t="s">
        <v>3</v>
      </c>
      <c r="F6" s="18" t="s">
        <v>36</v>
      </c>
      <c r="G6" s="18" t="s">
        <v>3</v>
      </c>
      <c r="H6" s="18" t="s">
        <v>36</v>
      </c>
      <c r="I6" s="2"/>
      <c r="J6" s="19" t="s">
        <v>3</v>
      </c>
      <c r="K6" s="19" t="s">
        <v>18</v>
      </c>
      <c r="L6" s="19" t="s">
        <v>18</v>
      </c>
      <c r="M6" s="19" t="s">
        <v>18</v>
      </c>
    </row>
    <row r="7" spans="1:13" ht="15" customHeight="1">
      <c r="A7" s="11"/>
      <c r="B7" s="16">
        <f>'Net present value'!G5</f>
        <v>2016</v>
      </c>
      <c r="C7" s="23">
        <v>205</v>
      </c>
      <c r="D7" s="23">
        <f>C7*0.44</f>
        <v>90.2</v>
      </c>
      <c r="E7" s="24">
        <f>C7-25</f>
        <v>180</v>
      </c>
      <c r="F7" s="24">
        <f>E7*0.44</f>
        <v>79.2</v>
      </c>
      <c r="G7" s="24">
        <f>C7*1.1</f>
        <v>225.50000000000003</v>
      </c>
      <c r="H7" s="24">
        <f>G7*0.44</f>
        <v>99.220000000000013</v>
      </c>
      <c r="I7" s="2"/>
      <c r="J7" s="16">
        <v>1</v>
      </c>
      <c r="K7" s="9">
        <v>542</v>
      </c>
      <c r="L7" s="9">
        <v>562</v>
      </c>
      <c r="M7" s="9">
        <v>537</v>
      </c>
    </row>
    <row r="8" spans="1:13" ht="15" customHeight="1">
      <c r="A8" s="11"/>
      <c r="B8" s="16">
        <f>B7+1</f>
        <v>2017</v>
      </c>
      <c r="C8" s="23">
        <v>169.56893725981922</v>
      </c>
      <c r="D8" s="23">
        <f t="shared" ref="D8:D16" si="0">C8*0.44</f>
        <v>74.610332394320451</v>
      </c>
      <c r="E8" s="24">
        <f>E7</f>
        <v>180</v>
      </c>
      <c r="F8" s="24">
        <f t="shared" ref="F8:F16" si="1">E8*0.44</f>
        <v>79.2</v>
      </c>
      <c r="G8" s="24">
        <f t="shared" ref="G8:G16" si="2">C8*1.1</f>
        <v>186.52583098580115</v>
      </c>
      <c r="H8" s="24">
        <f t="shared" ref="H8:H16" si="3">G8*0.44</f>
        <v>82.071365633752507</v>
      </c>
      <c r="I8" s="2"/>
      <c r="J8" s="20">
        <v>2</v>
      </c>
      <c r="K8" s="10">
        <v>552</v>
      </c>
      <c r="L8" s="10">
        <f>L7</f>
        <v>562</v>
      </c>
      <c r="M8" s="10">
        <v>552</v>
      </c>
    </row>
    <row r="9" spans="1:13" ht="15" customHeight="1">
      <c r="A9" s="11"/>
      <c r="B9" s="16">
        <f t="shared" ref="B9:B16" si="4">B8+1</f>
        <v>2018</v>
      </c>
      <c r="C9" s="23">
        <v>158.20226671441031</v>
      </c>
      <c r="D9" s="23">
        <f t="shared" si="0"/>
        <v>69.608997354340545</v>
      </c>
      <c r="E9" s="24">
        <f t="shared" ref="E9:E16" si="5">E8</f>
        <v>180</v>
      </c>
      <c r="F9" s="24">
        <f t="shared" si="1"/>
        <v>79.2</v>
      </c>
      <c r="G9" s="24">
        <f t="shared" si="2"/>
        <v>174.02249338585136</v>
      </c>
      <c r="H9" s="24">
        <f t="shared" si="3"/>
        <v>76.569897089774599</v>
      </c>
      <c r="I9" s="2"/>
      <c r="J9" s="20">
        <v>3</v>
      </c>
      <c r="K9" s="10">
        <v>562</v>
      </c>
      <c r="L9" s="10">
        <f t="shared" ref="L9:L16" si="6">L8</f>
        <v>562</v>
      </c>
      <c r="M9" s="10">
        <v>567</v>
      </c>
    </row>
    <row r="10" spans="1:13" ht="15" customHeight="1">
      <c r="A10" s="11"/>
      <c r="B10" s="16">
        <f t="shared" si="4"/>
        <v>2019</v>
      </c>
      <c r="C10" s="23">
        <v>151.58755984477699</v>
      </c>
      <c r="D10" s="23">
        <f t="shared" si="0"/>
        <v>66.698526331701871</v>
      </c>
      <c r="E10" s="24">
        <f t="shared" si="5"/>
        <v>180</v>
      </c>
      <c r="F10" s="24">
        <f t="shared" si="1"/>
        <v>79.2</v>
      </c>
      <c r="G10" s="24">
        <f t="shared" si="2"/>
        <v>166.74631582925471</v>
      </c>
      <c r="H10" s="24">
        <f t="shared" si="3"/>
        <v>73.368378964872079</v>
      </c>
      <c r="I10" s="2"/>
      <c r="J10" s="20">
        <v>4</v>
      </c>
      <c r="K10" s="10">
        <v>567</v>
      </c>
      <c r="L10" s="10">
        <f t="shared" si="6"/>
        <v>562</v>
      </c>
      <c r="M10" s="10">
        <v>582</v>
      </c>
    </row>
    <row r="11" spans="1:13" ht="15" customHeight="1">
      <c r="A11" s="11"/>
      <c r="B11" s="16">
        <f t="shared" si="4"/>
        <v>2020</v>
      </c>
      <c r="C11" s="23">
        <v>144.81308624673179</v>
      </c>
      <c r="D11" s="23">
        <f t="shared" si="0"/>
        <v>63.717757948561989</v>
      </c>
      <c r="E11" s="24">
        <f t="shared" si="5"/>
        <v>180</v>
      </c>
      <c r="F11" s="24">
        <f t="shared" si="1"/>
        <v>79.2</v>
      </c>
      <c r="G11" s="24">
        <f t="shared" si="2"/>
        <v>159.29439487140499</v>
      </c>
      <c r="H11" s="24">
        <f t="shared" si="3"/>
        <v>70.089533743418201</v>
      </c>
      <c r="I11" s="2"/>
      <c r="J11" s="20">
        <v>5</v>
      </c>
      <c r="K11" s="10">
        <v>572</v>
      </c>
      <c r="L11" s="10">
        <f t="shared" si="6"/>
        <v>562</v>
      </c>
      <c r="M11" s="10">
        <v>582</v>
      </c>
    </row>
    <row r="12" spans="1:13" ht="15" customHeight="1">
      <c r="A12" s="11"/>
      <c r="B12" s="16">
        <f t="shared" si="4"/>
        <v>2021</v>
      </c>
      <c r="C12" s="23">
        <v>143.0534196178078</v>
      </c>
      <c r="D12" s="23">
        <f t="shared" si="0"/>
        <v>62.943504631835431</v>
      </c>
      <c r="E12" s="24">
        <f t="shared" si="5"/>
        <v>180</v>
      </c>
      <c r="F12" s="24">
        <f t="shared" si="1"/>
        <v>79.2</v>
      </c>
      <c r="G12" s="24">
        <f t="shared" si="2"/>
        <v>157.35876157958859</v>
      </c>
      <c r="H12" s="24">
        <f t="shared" si="3"/>
        <v>69.237855095018986</v>
      </c>
      <c r="I12" s="2"/>
      <c r="J12" s="20">
        <v>6</v>
      </c>
      <c r="K12" s="10">
        <v>572</v>
      </c>
      <c r="L12" s="10">
        <f t="shared" si="6"/>
        <v>562</v>
      </c>
      <c r="M12" s="10">
        <v>577</v>
      </c>
    </row>
    <row r="13" spans="1:13" ht="15" customHeight="1">
      <c r="A13" s="11"/>
      <c r="B13" s="16">
        <f t="shared" si="4"/>
        <v>2022</v>
      </c>
      <c r="C13" s="23">
        <v>140.24507849224455</v>
      </c>
      <c r="D13" s="23">
        <f t="shared" si="0"/>
        <v>61.707834536587598</v>
      </c>
      <c r="E13" s="24">
        <f t="shared" si="5"/>
        <v>180</v>
      </c>
      <c r="F13" s="24">
        <f t="shared" si="1"/>
        <v>79.2</v>
      </c>
      <c r="G13" s="24">
        <f t="shared" si="2"/>
        <v>154.26958634146902</v>
      </c>
      <c r="H13" s="24">
        <f t="shared" si="3"/>
        <v>67.878617990246369</v>
      </c>
      <c r="I13" s="2"/>
      <c r="J13" s="20">
        <v>7</v>
      </c>
      <c r="K13" s="10">
        <v>567</v>
      </c>
      <c r="L13" s="10">
        <f t="shared" si="6"/>
        <v>562</v>
      </c>
      <c r="M13" s="10">
        <v>567</v>
      </c>
    </row>
    <row r="14" spans="1:13" ht="15" customHeight="1">
      <c r="A14" s="11"/>
      <c r="B14" s="16">
        <f t="shared" si="4"/>
        <v>2023</v>
      </c>
      <c r="C14" s="23">
        <v>138.6668814307524</v>
      </c>
      <c r="D14" s="23">
        <f t="shared" si="0"/>
        <v>61.013427829531054</v>
      </c>
      <c r="E14" s="24">
        <f t="shared" si="5"/>
        <v>180</v>
      </c>
      <c r="F14" s="24">
        <f t="shared" si="1"/>
        <v>79.2</v>
      </c>
      <c r="G14" s="24">
        <f t="shared" si="2"/>
        <v>152.53356957382766</v>
      </c>
      <c r="H14" s="24">
        <f t="shared" si="3"/>
        <v>67.114770612484179</v>
      </c>
      <c r="I14" s="2"/>
      <c r="J14" s="20">
        <v>8</v>
      </c>
      <c r="K14" s="10">
        <v>565</v>
      </c>
      <c r="L14" s="10">
        <f t="shared" si="6"/>
        <v>562</v>
      </c>
      <c r="M14" s="10">
        <v>557</v>
      </c>
    </row>
    <row r="15" spans="1:13" ht="15" customHeight="1">
      <c r="A15" s="11"/>
      <c r="B15" s="16">
        <f t="shared" si="4"/>
        <v>2024</v>
      </c>
      <c r="C15" s="23">
        <v>139.44683790220549</v>
      </c>
      <c r="D15" s="23">
        <f t="shared" si="0"/>
        <v>61.356608676970417</v>
      </c>
      <c r="E15" s="24">
        <f t="shared" si="5"/>
        <v>180</v>
      </c>
      <c r="F15" s="24">
        <f t="shared" si="1"/>
        <v>79.2</v>
      </c>
      <c r="G15" s="24">
        <f t="shared" si="2"/>
        <v>153.39152169242604</v>
      </c>
      <c r="H15" s="24">
        <f t="shared" si="3"/>
        <v>67.492269544667451</v>
      </c>
      <c r="I15" s="2"/>
      <c r="J15" s="16">
        <v>9</v>
      </c>
      <c r="K15" s="9">
        <v>562</v>
      </c>
      <c r="L15" s="10">
        <f t="shared" si="6"/>
        <v>562</v>
      </c>
      <c r="M15" s="9">
        <v>552</v>
      </c>
    </row>
    <row r="16" spans="1:13" ht="15" customHeight="1">
      <c r="A16" s="11"/>
      <c r="B16" s="16">
        <f t="shared" si="4"/>
        <v>2025</v>
      </c>
      <c r="C16" s="23">
        <v>140.26</v>
      </c>
      <c r="D16" s="23">
        <f t="shared" si="0"/>
        <v>61.714399999999998</v>
      </c>
      <c r="E16" s="24">
        <f t="shared" si="5"/>
        <v>180</v>
      </c>
      <c r="F16" s="24">
        <f t="shared" si="1"/>
        <v>79.2</v>
      </c>
      <c r="G16" s="24">
        <f t="shared" si="2"/>
        <v>154.286</v>
      </c>
      <c r="H16" s="24">
        <f t="shared" si="3"/>
        <v>67.885840000000002</v>
      </c>
      <c r="I16" s="2"/>
      <c r="J16" s="16">
        <v>10</v>
      </c>
      <c r="K16" s="9">
        <v>559</v>
      </c>
      <c r="L16" s="10">
        <f t="shared" si="6"/>
        <v>562</v>
      </c>
      <c r="M16" s="9">
        <v>547</v>
      </c>
    </row>
    <row r="17" spans="1:13" ht="15" customHeight="1" thickBot="1">
      <c r="A17" s="11"/>
      <c r="B17" s="21" t="s">
        <v>0</v>
      </c>
      <c r="C17" s="22">
        <f t="shared" ref="C17:H17" si="7">AVERAGE(C7:C16)</f>
        <v>153.08440675087485</v>
      </c>
      <c r="D17" s="22">
        <f t="shared" si="7"/>
        <v>67.357138970384923</v>
      </c>
      <c r="E17" s="22">
        <f t="shared" si="7"/>
        <v>180</v>
      </c>
      <c r="F17" s="22">
        <f t="shared" si="7"/>
        <v>79.200000000000017</v>
      </c>
      <c r="G17" s="22">
        <f t="shared" si="7"/>
        <v>168.39284742596237</v>
      </c>
      <c r="H17" s="22">
        <f t="shared" si="7"/>
        <v>74.092852867423446</v>
      </c>
      <c r="I17" s="2"/>
      <c r="J17" s="21" t="s">
        <v>0</v>
      </c>
      <c r="K17" s="21">
        <f>AVERAGE(K7:K16)</f>
        <v>562</v>
      </c>
      <c r="L17" s="21">
        <f>AVERAGE(L7:L16)</f>
        <v>562</v>
      </c>
      <c r="M17" s="21">
        <f>AVERAGE(M7:M16)</f>
        <v>562</v>
      </c>
    </row>
    <row r="18" spans="1:13" ht="15" customHeight="1">
      <c r="A18" s="11"/>
      <c r="B18" s="2"/>
      <c r="C18" s="2"/>
      <c r="D18" s="2"/>
      <c r="E18" s="2"/>
      <c r="F18" s="2"/>
      <c r="G18" s="2"/>
      <c r="I18" s="2"/>
      <c r="J18" s="2"/>
      <c r="K18" s="2"/>
      <c r="L18" s="2"/>
      <c r="M18" s="2"/>
    </row>
    <row r="19" spans="1:13" ht="15" customHeight="1">
      <c r="A19" s="11"/>
      <c r="B19" s="2" t="s">
        <v>40</v>
      </c>
      <c r="C19" s="2"/>
      <c r="D19" s="2"/>
      <c r="E19" s="2"/>
      <c r="F19" s="2"/>
      <c r="H19" s="25">
        <v>525</v>
      </c>
      <c r="I19" s="2"/>
      <c r="J19" s="2"/>
      <c r="K19" s="2"/>
      <c r="L19" s="2"/>
      <c r="M19" s="2"/>
    </row>
    <row r="20" spans="1:13" ht="15" customHeight="1">
      <c r="A20" s="11"/>
      <c r="B20" s="2" t="s">
        <v>41</v>
      </c>
      <c r="C20" s="2"/>
      <c r="D20" s="2"/>
      <c r="E20" s="2"/>
      <c r="F20" s="2"/>
      <c r="H20" s="203">
        <v>8.4199999999999997E-2</v>
      </c>
      <c r="I20" s="2"/>
      <c r="J20" s="2"/>
      <c r="K20" s="2"/>
      <c r="L20" s="2"/>
      <c r="M20" s="2"/>
    </row>
    <row r="21" spans="1:13" ht="15" customHeight="1">
      <c r="B21" s="5"/>
      <c r="C21" s="6"/>
      <c r="D21" s="6"/>
    </row>
    <row r="22" spans="1:13" ht="15" customHeight="1">
      <c r="B22" s="5"/>
      <c r="C22" s="6"/>
      <c r="D22" s="6"/>
    </row>
    <row r="23" spans="1:13" ht="15" customHeight="1">
      <c r="B23" s="7"/>
      <c r="C23" s="7"/>
      <c r="D23" s="7"/>
      <c r="E23" s="7"/>
      <c r="F23" s="7"/>
      <c r="G23" s="7"/>
      <c r="H23" s="7"/>
      <c r="I23" s="7"/>
      <c r="J23" s="7"/>
      <c r="K23" s="7"/>
      <c r="L23" s="7"/>
      <c r="M23" s="7"/>
    </row>
    <row r="26" spans="1:13" ht="15" customHeight="1">
      <c r="B26" s="3"/>
      <c r="C26" s="3"/>
      <c r="D26" s="3"/>
      <c r="E26" s="3"/>
      <c r="F26" s="3"/>
      <c r="G26" s="3"/>
      <c r="H26" s="3"/>
      <c r="I26" s="3"/>
      <c r="J26" s="3"/>
      <c r="K26" s="3"/>
      <c r="L26" s="3"/>
      <c r="M26" s="3"/>
    </row>
    <row r="27" spans="1:13" ht="15" customHeight="1">
      <c r="B27" s="3"/>
      <c r="C27" s="3"/>
      <c r="D27" s="3"/>
      <c r="E27" s="3"/>
      <c r="F27" s="3"/>
      <c r="G27" s="3"/>
      <c r="H27" s="3"/>
      <c r="I27" s="3"/>
      <c r="J27" s="3"/>
      <c r="K27" s="3"/>
      <c r="L27" s="3"/>
      <c r="M27" s="3"/>
    </row>
    <row r="28" spans="1:13" ht="15" customHeight="1">
      <c r="B28" s="3"/>
      <c r="C28" s="3"/>
      <c r="D28" s="3"/>
      <c r="E28" s="3"/>
      <c r="F28" s="3"/>
      <c r="G28" s="3"/>
      <c r="H28" s="3"/>
      <c r="I28" s="3"/>
      <c r="J28" s="3"/>
      <c r="K28" s="3"/>
      <c r="L28" s="3"/>
      <c r="M28" s="3"/>
    </row>
    <row r="29" spans="1:13" ht="15" customHeight="1">
      <c r="B29" s="3"/>
      <c r="C29" s="3"/>
      <c r="D29" s="3"/>
      <c r="E29" s="3"/>
      <c r="F29" s="3"/>
      <c r="G29" s="3"/>
      <c r="H29" s="3"/>
      <c r="I29" s="3"/>
      <c r="J29" s="3"/>
      <c r="K29" s="3"/>
      <c r="L29" s="3"/>
      <c r="M29" s="3"/>
    </row>
    <row r="30" spans="1:13" ht="15" customHeight="1">
      <c r="B30" s="3"/>
      <c r="C30" s="3"/>
      <c r="D30" s="3"/>
      <c r="E30" s="3"/>
      <c r="F30" s="3"/>
      <c r="G30" s="3"/>
      <c r="H30" s="3"/>
      <c r="I30" s="3"/>
      <c r="J30" s="3"/>
      <c r="K30" s="3"/>
      <c r="L30" s="3"/>
      <c r="M30" s="3"/>
    </row>
    <row r="31" spans="1:13" ht="15" customHeight="1">
      <c r="B31" s="3"/>
      <c r="C31" s="3"/>
      <c r="D31" s="3"/>
      <c r="E31" s="3"/>
      <c r="F31" s="3"/>
      <c r="G31" s="3"/>
      <c r="H31" s="3"/>
      <c r="I31" s="3"/>
      <c r="J31" s="3"/>
      <c r="K31" s="3"/>
      <c r="L31" s="3"/>
      <c r="M31" s="3"/>
    </row>
    <row r="32" spans="1:13" ht="15" customHeight="1">
      <c r="B32" s="3"/>
      <c r="C32" s="3"/>
      <c r="D32" s="3"/>
      <c r="E32" s="3"/>
      <c r="F32" s="3"/>
      <c r="G32" s="3"/>
      <c r="H32" s="3"/>
      <c r="I32" s="3"/>
      <c r="J32" s="3"/>
      <c r="K32" s="3"/>
      <c r="L32" s="3"/>
      <c r="M32" s="3"/>
    </row>
    <row r="34" spans="1:14" ht="15" customHeight="1">
      <c r="N34" s="3"/>
    </row>
    <row r="35" spans="1:14" ht="15" customHeight="1">
      <c r="N35" s="3"/>
    </row>
    <row r="36" spans="1:14" ht="15" customHeight="1">
      <c r="N36" s="3"/>
    </row>
    <row r="37" spans="1:14" ht="15" customHeight="1">
      <c r="N37" s="3"/>
    </row>
    <row r="38" spans="1:14" ht="15" customHeight="1">
      <c r="N38" s="3"/>
    </row>
    <row r="39" spans="1:14" ht="15" customHeight="1">
      <c r="N39" s="3"/>
    </row>
    <row r="40" spans="1:14" ht="15" customHeight="1">
      <c r="N40" s="3"/>
    </row>
    <row r="43" spans="1:14" ht="15" customHeight="1">
      <c r="A43" s="1"/>
    </row>
    <row r="47" spans="1:14" ht="15" customHeight="1">
      <c r="A47" s="8"/>
    </row>
    <row r="50" spans="1:11" ht="15" customHeight="1">
      <c r="G50" s="7"/>
      <c r="H50" s="7"/>
      <c r="I50" s="7"/>
      <c r="J50" s="7"/>
      <c r="K50" s="7"/>
    </row>
    <row r="53" spans="1:11" ht="15" customHeight="1">
      <c r="G53" s="3"/>
      <c r="H53" s="3"/>
      <c r="I53" s="3"/>
      <c r="J53" s="3"/>
      <c r="K53" s="3"/>
    </row>
    <row r="54" spans="1:11" ht="15" customHeight="1">
      <c r="G54" s="3"/>
      <c r="H54" s="3"/>
      <c r="I54" s="3"/>
      <c r="J54" s="3"/>
      <c r="K54" s="3"/>
    </row>
    <row r="55" spans="1:11" ht="15" customHeight="1">
      <c r="G55" s="3"/>
      <c r="H55" s="3"/>
      <c r="I55" s="3"/>
      <c r="J55" s="3"/>
      <c r="K55" s="3"/>
    </row>
    <row r="56" spans="1:11" ht="15" customHeight="1">
      <c r="G56" s="3"/>
      <c r="H56" s="3"/>
      <c r="I56" s="3"/>
      <c r="J56" s="3"/>
      <c r="K56" s="3"/>
    </row>
    <row r="57" spans="1:11" ht="15" customHeight="1">
      <c r="A57" s="8"/>
      <c r="G57" s="3"/>
      <c r="H57" s="3"/>
      <c r="I57" s="3"/>
      <c r="J57" s="3"/>
      <c r="K57" s="3"/>
    </row>
    <row r="58" spans="1:11" ht="15" customHeight="1">
      <c r="G58" s="3"/>
      <c r="H58" s="3"/>
      <c r="I58" s="3"/>
      <c r="J58" s="3"/>
      <c r="K58" s="3"/>
    </row>
    <row r="59" spans="1:11" ht="15" customHeight="1">
      <c r="G59" s="3"/>
      <c r="H59" s="3"/>
      <c r="I59" s="3"/>
      <c r="J59" s="3"/>
      <c r="K59" s="3"/>
    </row>
    <row r="64" spans="1:11" ht="15" customHeight="1">
      <c r="F64" s="4"/>
    </row>
    <row r="65" spans="6:6" ht="15" customHeight="1">
      <c r="F65" s="4"/>
    </row>
    <row r="66" spans="6:6" ht="15" customHeight="1">
      <c r="F66" s="4"/>
    </row>
    <row r="67" spans="6:6" ht="15" customHeight="1">
      <c r="F67" s="4"/>
    </row>
    <row r="68" spans="6:6" ht="15" customHeight="1">
      <c r="F68" s="4"/>
    </row>
    <row r="69" spans="6:6" ht="15" customHeight="1">
      <c r="F69" s="4"/>
    </row>
    <row r="212" spans="9:11" ht="15" customHeight="1">
      <c r="I212" s="7"/>
      <c r="J212" s="7"/>
      <c r="K212" s="7"/>
    </row>
    <row r="236" spans="15:27" ht="15" customHeight="1">
      <c r="O236" s="7"/>
      <c r="P236" s="7"/>
      <c r="Q236" s="7"/>
      <c r="R236" s="7"/>
      <c r="S236" s="7"/>
      <c r="T236" s="7"/>
      <c r="U236" s="7"/>
      <c r="V236" s="7"/>
      <c r="W236" s="7"/>
      <c r="X236" s="7"/>
      <c r="Y236" s="7"/>
      <c r="Z236" s="7"/>
      <c r="AA236" s="7"/>
    </row>
    <row r="237" spans="15:27" ht="15" customHeight="1">
      <c r="O237" s="7"/>
      <c r="P237" s="7"/>
      <c r="Q237" s="7"/>
      <c r="R237" s="7"/>
      <c r="S237" s="7"/>
      <c r="T237" s="7"/>
      <c r="U237" s="7"/>
      <c r="V237" s="7"/>
      <c r="W237" s="7"/>
      <c r="X237" s="7"/>
      <c r="Y237" s="7"/>
      <c r="Z237" s="7"/>
      <c r="AA237" s="7"/>
    </row>
    <row r="242" spans="9:11" ht="15" customHeight="1">
      <c r="I242" s="7"/>
    </row>
    <row r="243" spans="9:11" ht="15" customHeight="1">
      <c r="I243" s="7"/>
      <c r="J243" s="7"/>
      <c r="K243" s="7"/>
    </row>
    <row r="244" spans="9:11" ht="15" customHeight="1">
      <c r="I244" s="7"/>
      <c r="J244" s="7"/>
      <c r="K244" s="7"/>
    </row>
    <row r="245" spans="9:11" ht="15" customHeight="1">
      <c r="I245" s="7"/>
      <c r="J245" s="7"/>
      <c r="K245" s="7"/>
    </row>
    <row r="246" spans="9:11" ht="15" customHeight="1">
      <c r="I246" s="7"/>
      <c r="J246" s="7"/>
      <c r="K246" s="7"/>
    </row>
    <row r="247" spans="9:11" ht="15" customHeight="1">
      <c r="I247" s="7"/>
      <c r="J247" s="7"/>
      <c r="K247" s="7"/>
    </row>
    <row r="248" spans="9:11" ht="15" customHeight="1">
      <c r="I248" s="7"/>
      <c r="J248" s="7"/>
      <c r="K248" s="7"/>
    </row>
    <row r="249" spans="9:11" ht="15" customHeight="1">
      <c r="I249" s="7"/>
      <c r="J249" s="7"/>
      <c r="K249" s="7"/>
    </row>
    <row r="250" spans="9:11" ht="15" customHeight="1">
      <c r="I250" s="7"/>
      <c r="J250" s="7"/>
      <c r="K250" s="7"/>
    </row>
    <row r="251" spans="9:11" ht="15" customHeight="1">
      <c r="I251" s="7"/>
      <c r="J251" s="7"/>
      <c r="K251" s="7"/>
    </row>
    <row r="252" spans="9:11" ht="15" customHeight="1">
      <c r="I252" s="7"/>
      <c r="J252" s="7"/>
      <c r="K252" s="7"/>
    </row>
    <row r="253" spans="9:11" ht="15" customHeight="1">
      <c r="I253" s="7"/>
      <c r="J253" s="7"/>
      <c r="K253" s="7"/>
    </row>
    <row r="254" spans="9:11" ht="15" customHeight="1">
      <c r="I254" s="7"/>
      <c r="J254" s="7"/>
      <c r="K254" s="7"/>
    </row>
    <row r="255" spans="9:11" ht="15" customHeight="1">
      <c r="I255" s="7"/>
      <c r="J255" s="7"/>
      <c r="K255" s="7"/>
    </row>
    <row r="256" spans="9:11" ht="15" customHeight="1">
      <c r="I256" s="7"/>
      <c r="J256" s="7"/>
      <c r="K256" s="7"/>
    </row>
    <row r="257" spans="9:11" ht="15" customHeight="1">
      <c r="I257" s="7"/>
      <c r="J257" s="7"/>
      <c r="K257" s="7"/>
    </row>
    <row r="258" spans="9:11" ht="15" customHeight="1">
      <c r="I258" s="7"/>
      <c r="J258" s="7"/>
      <c r="K258" s="7"/>
    </row>
    <row r="259" spans="9:11" ht="15" customHeight="1">
      <c r="I259" s="7"/>
      <c r="J259" s="7"/>
      <c r="K259" s="7"/>
    </row>
    <row r="260" spans="9:11" ht="15" customHeight="1">
      <c r="I260" s="7"/>
      <c r="J260" s="7"/>
      <c r="K260" s="7"/>
    </row>
    <row r="261" spans="9:11" ht="15" customHeight="1">
      <c r="I261" s="7"/>
      <c r="J261" s="7"/>
      <c r="K261" s="7"/>
    </row>
    <row r="262" spans="9:11" ht="15" customHeight="1">
      <c r="I262" s="7"/>
      <c r="J262" s="7"/>
      <c r="K262" s="7"/>
    </row>
    <row r="263" spans="9:11" ht="15" customHeight="1">
      <c r="I263" s="7"/>
      <c r="J263" s="7"/>
      <c r="K263" s="7"/>
    </row>
    <row r="264" spans="9:11" ht="15" customHeight="1">
      <c r="I264" s="7"/>
      <c r="J264" s="7"/>
      <c r="K264" s="7"/>
    </row>
    <row r="265" spans="9:11" ht="15" customHeight="1">
      <c r="I265" s="7"/>
      <c r="J265" s="7"/>
      <c r="K265" s="7"/>
    </row>
    <row r="266" spans="9:11" ht="15" customHeight="1">
      <c r="I266" s="7"/>
      <c r="J266" s="7"/>
      <c r="K266" s="7"/>
    </row>
    <row r="267" spans="9:11" ht="15" customHeight="1">
      <c r="I267" s="7"/>
      <c r="J267" s="7"/>
      <c r="K267" s="7"/>
    </row>
    <row r="268" spans="9:11" ht="15" customHeight="1">
      <c r="I268" s="7"/>
      <c r="J268" s="7"/>
      <c r="K268" s="7"/>
    </row>
    <row r="269" spans="9:11" ht="15" customHeight="1">
      <c r="I269" s="7"/>
      <c r="J269" s="7"/>
      <c r="K269" s="7"/>
    </row>
    <row r="270" spans="9:11" ht="15" customHeight="1">
      <c r="I270" s="7"/>
      <c r="J270" s="7"/>
      <c r="K270" s="7"/>
    </row>
    <row r="271" spans="9:11" ht="15" customHeight="1">
      <c r="I271" s="7"/>
      <c r="J271" s="7"/>
      <c r="K271" s="7"/>
    </row>
    <row r="272" spans="9:11" ht="15" customHeight="1">
      <c r="I272" s="7"/>
      <c r="J272" s="7"/>
      <c r="K272" s="7"/>
    </row>
    <row r="273" spans="9:11" ht="15" customHeight="1">
      <c r="I273" s="7"/>
      <c r="J273" s="7"/>
      <c r="K273" s="7"/>
    </row>
    <row r="274" spans="9:11" ht="15" customHeight="1">
      <c r="I274" s="7"/>
      <c r="J274" s="7"/>
      <c r="K274" s="7"/>
    </row>
    <row r="275" spans="9:11" ht="15" customHeight="1">
      <c r="I275" s="7"/>
      <c r="J275" s="7"/>
      <c r="K275" s="7"/>
    </row>
    <row r="276" spans="9:11" ht="15" customHeight="1">
      <c r="I276" s="7"/>
      <c r="J276" s="7"/>
      <c r="K276" s="7"/>
    </row>
    <row r="277" spans="9:11" ht="15" customHeight="1">
      <c r="I277" s="7"/>
      <c r="J277" s="7"/>
      <c r="K277" s="7"/>
    </row>
    <row r="278" spans="9:11" ht="15" customHeight="1">
      <c r="I278" s="7"/>
      <c r="J278" s="7"/>
      <c r="K278" s="7"/>
    </row>
    <row r="279" spans="9:11" ht="15" customHeight="1">
      <c r="I279" s="7"/>
      <c r="J279" s="7"/>
      <c r="K279" s="7"/>
    </row>
    <row r="280" spans="9:11" ht="15" customHeight="1">
      <c r="I280" s="7"/>
      <c r="J280" s="7"/>
      <c r="K280" s="7"/>
    </row>
    <row r="281" spans="9:11" ht="15" customHeight="1">
      <c r="I281" s="7"/>
      <c r="J281" s="7"/>
      <c r="K281" s="7"/>
    </row>
    <row r="282" spans="9:11" ht="15" customHeight="1">
      <c r="I282" s="7"/>
      <c r="J282" s="7"/>
      <c r="K282" s="7"/>
    </row>
    <row r="283" spans="9:11" ht="15" customHeight="1">
      <c r="I283" s="7"/>
      <c r="J283" s="7"/>
      <c r="K283" s="7"/>
    </row>
    <row r="284" spans="9:11" ht="15" customHeight="1">
      <c r="I284" s="7"/>
      <c r="J284" s="7"/>
      <c r="K284" s="7"/>
    </row>
    <row r="285" spans="9:11" ht="15" customHeight="1">
      <c r="I285" s="7"/>
      <c r="J285" s="7"/>
      <c r="K285" s="7"/>
    </row>
    <row r="286" spans="9:11" ht="15" customHeight="1">
      <c r="I286" s="7"/>
      <c r="J286" s="7"/>
      <c r="K286" s="7"/>
    </row>
    <row r="287" spans="9:11" ht="15" customHeight="1">
      <c r="I287" s="7"/>
      <c r="J287" s="7"/>
      <c r="K287" s="7"/>
    </row>
    <row r="288" spans="9:11" ht="15" customHeight="1">
      <c r="I288" s="7"/>
      <c r="J288" s="7"/>
      <c r="K288" s="7"/>
    </row>
    <row r="289" spans="9:11" ht="15" customHeight="1">
      <c r="I289" s="7"/>
      <c r="J289" s="7"/>
      <c r="K289" s="7"/>
    </row>
    <row r="290" spans="9:11" ht="15" customHeight="1">
      <c r="I290" s="7"/>
      <c r="J290" s="7"/>
      <c r="K290" s="7"/>
    </row>
    <row r="291" spans="9:11" ht="15" customHeight="1">
      <c r="I291" s="7"/>
      <c r="J291" s="7"/>
      <c r="K291" s="7"/>
    </row>
    <row r="292" spans="9:11" ht="15" customHeight="1">
      <c r="I292" s="7"/>
      <c r="J292" s="7"/>
      <c r="K292" s="7"/>
    </row>
    <row r="293" spans="9:11" ht="15" customHeight="1">
      <c r="I293" s="7"/>
      <c r="J293" s="7"/>
      <c r="K293" s="7"/>
    </row>
    <row r="294" spans="9:11" ht="15" customHeight="1">
      <c r="I294" s="7"/>
      <c r="J294" s="7"/>
      <c r="K294" s="7"/>
    </row>
    <row r="295" spans="9:11" ht="15" customHeight="1">
      <c r="I295" s="7"/>
      <c r="J295" s="7"/>
      <c r="K295" s="7"/>
    </row>
    <row r="296" spans="9:11" ht="15" customHeight="1">
      <c r="I296" s="7"/>
      <c r="J296" s="7"/>
      <c r="K296" s="7"/>
    </row>
    <row r="297" spans="9:11" ht="15" customHeight="1">
      <c r="I297" s="7"/>
      <c r="J297" s="7"/>
      <c r="K297" s="7"/>
    </row>
    <row r="298" spans="9:11" ht="15" customHeight="1">
      <c r="I298" s="7"/>
      <c r="J298" s="7"/>
      <c r="K298" s="7"/>
    </row>
    <row r="299" spans="9:11" ht="15" customHeight="1">
      <c r="I299" s="7"/>
      <c r="J299" s="7"/>
      <c r="K299" s="7"/>
    </row>
    <row r="300" spans="9:11" ht="15" customHeight="1">
      <c r="I300" s="7"/>
      <c r="J300" s="7"/>
      <c r="K300" s="7"/>
    </row>
    <row r="301" spans="9:11" ht="15" customHeight="1">
      <c r="I301" s="7"/>
      <c r="J301" s="7"/>
      <c r="K301" s="7"/>
    </row>
    <row r="302" spans="9:11" ht="15" customHeight="1">
      <c r="I302" s="7"/>
      <c r="J302" s="7"/>
      <c r="K302" s="7"/>
    </row>
    <row r="303" spans="9:11" ht="15" customHeight="1">
      <c r="I303" s="7"/>
      <c r="J303" s="7"/>
      <c r="K303" s="7"/>
    </row>
    <row r="304" spans="9:11" ht="15" customHeight="1">
      <c r="I304" s="7"/>
      <c r="J304" s="7"/>
      <c r="K304" s="7"/>
    </row>
    <row r="305" spans="9:11" ht="15" customHeight="1">
      <c r="I305" s="7"/>
      <c r="J305" s="7"/>
      <c r="K305" s="7"/>
    </row>
    <row r="306" spans="9:11" ht="15" customHeight="1">
      <c r="I306" s="7"/>
      <c r="J306" s="7"/>
      <c r="K306" s="7"/>
    </row>
    <row r="307" spans="9:11" ht="15" customHeight="1">
      <c r="I307" s="7"/>
      <c r="J307" s="7"/>
      <c r="K307" s="7"/>
    </row>
    <row r="308" spans="9:11" ht="15" customHeight="1">
      <c r="I308" s="7"/>
      <c r="J308" s="7"/>
      <c r="K308" s="7"/>
    </row>
    <row r="309" spans="9:11" ht="15" customHeight="1">
      <c r="I309" s="7"/>
      <c r="J309" s="7"/>
      <c r="K309" s="7"/>
    </row>
    <row r="310" spans="9:11" ht="15" customHeight="1">
      <c r="I310" s="7"/>
      <c r="J310" s="7"/>
      <c r="K310" s="7"/>
    </row>
    <row r="311" spans="9:11" ht="15" customHeight="1">
      <c r="I311" s="7"/>
      <c r="J311" s="7"/>
      <c r="K311" s="7"/>
    </row>
    <row r="312" spans="9:11" ht="15" customHeight="1">
      <c r="I312" s="7"/>
      <c r="J312" s="7"/>
      <c r="K312" s="7"/>
    </row>
    <row r="313" spans="9:11" ht="15" customHeight="1">
      <c r="I313" s="7"/>
      <c r="J313" s="7"/>
      <c r="K313" s="7"/>
    </row>
    <row r="314" spans="9:11" ht="15" customHeight="1">
      <c r="I314" s="7"/>
      <c r="J314" s="7"/>
      <c r="K314" s="7"/>
    </row>
    <row r="315" spans="9:11" ht="15" customHeight="1">
      <c r="I315" s="7"/>
      <c r="J315" s="7"/>
      <c r="K315" s="7"/>
    </row>
    <row r="316" spans="9:11" ht="15" customHeight="1">
      <c r="I316" s="7"/>
      <c r="J316" s="7"/>
      <c r="K316" s="7"/>
    </row>
    <row r="317" spans="9:11" ht="15" customHeight="1">
      <c r="I317" s="7"/>
      <c r="J317" s="7"/>
      <c r="K317" s="7"/>
    </row>
    <row r="318" spans="9:11" ht="15" customHeight="1">
      <c r="I318" s="7"/>
      <c r="J318" s="7"/>
      <c r="K318" s="7"/>
    </row>
    <row r="319" spans="9:11" ht="15" customHeight="1">
      <c r="I319" s="7"/>
      <c r="J319" s="7"/>
      <c r="K319" s="7"/>
    </row>
    <row r="320" spans="9:11" ht="15" customHeight="1">
      <c r="I320" s="7"/>
      <c r="J320" s="7"/>
      <c r="K320" s="7"/>
    </row>
    <row r="321" spans="9:11" ht="15" customHeight="1">
      <c r="I321" s="7"/>
      <c r="J321" s="7"/>
      <c r="K321" s="7"/>
    </row>
    <row r="322" spans="9:11" ht="15" customHeight="1">
      <c r="I322" s="7"/>
      <c r="J322" s="7"/>
      <c r="K322" s="7"/>
    </row>
    <row r="323" spans="9:11" ht="15" customHeight="1">
      <c r="I323" s="7"/>
      <c r="J323" s="7"/>
      <c r="K323" s="7"/>
    </row>
    <row r="324" spans="9:11" ht="15" customHeight="1">
      <c r="I324" s="7"/>
      <c r="J324" s="7"/>
      <c r="K324" s="7"/>
    </row>
    <row r="325" spans="9:11" ht="15" customHeight="1">
      <c r="I325" s="7"/>
      <c r="J325" s="7"/>
      <c r="K325" s="7"/>
    </row>
    <row r="326" spans="9:11" ht="15" customHeight="1">
      <c r="I326" s="7"/>
      <c r="J326" s="7"/>
      <c r="K326" s="7"/>
    </row>
    <row r="327" spans="9:11" ht="15" customHeight="1">
      <c r="I327" s="7"/>
      <c r="J327" s="7"/>
      <c r="K327" s="7"/>
    </row>
    <row r="328" spans="9:11" ht="15" customHeight="1">
      <c r="I328" s="7"/>
      <c r="J328" s="7"/>
      <c r="K328" s="7"/>
    </row>
    <row r="329" spans="9:11" ht="15" customHeight="1">
      <c r="I329" s="7"/>
      <c r="J329" s="7"/>
      <c r="K329" s="7"/>
    </row>
    <row r="330" spans="9:11" ht="15" customHeight="1">
      <c r="I330" s="7"/>
      <c r="J330" s="7"/>
      <c r="K330" s="7"/>
    </row>
    <row r="331" spans="9:11" ht="15" customHeight="1">
      <c r="I331" s="7"/>
      <c r="J331" s="7"/>
      <c r="K331" s="7"/>
    </row>
    <row r="332" spans="9:11" ht="15" customHeight="1">
      <c r="I332" s="7"/>
      <c r="J332" s="7"/>
      <c r="K332" s="7"/>
    </row>
    <row r="333" spans="9:11" ht="15" customHeight="1">
      <c r="I333" s="7"/>
      <c r="J333" s="7"/>
      <c r="K333" s="7"/>
    </row>
    <row r="334" spans="9:11" ht="15" customHeight="1">
      <c r="I334" s="7"/>
      <c r="J334" s="7"/>
      <c r="K334" s="7"/>
    </row>
    <row r="335" spans="9:11" ht="15" customHeight="1">
      <c r="I335" s="7"/>
      <c r="J335" s="7"/>
      <c r="K335" s="7"/>
    </row>
    <row r="336" spans="9:11" ht="15" customHeight="1">
      <c r="I336" s="7"/>
      <c r="J336" s="7"/>
      <c r="K336" s="7"/>
    </row>
    <row r="337" spans="9:11" ht="15" customHeight="1">
      <c r="I337" s="7"/>
      <c r="J337" s="7"/>
      <c r="K337" s="7"/>
    </row>
    <row r="338" spans="9:11" ht="15" customHeight="1">
      <c r="I338" s="7"/>
      <c r="J338" s="7"/>
      <c r="K338" s="7"/>
    </row>
    <row r="339" spans="9:11" ht="15" customHeight="1">
      <c r="I339" s="7"/>
      <c r="J339" s="7"/>
      <c r="K339" s="7"/>
    </row>
    <row r="340" spans="9:11" ht="15" customHeight="1">
      <c r="I340" s="7"/>
      <c r="J340" s="7"/>
      <c r="K340" s="7"/>
    </row>
    <row r="341" spans="9:11" ht="15" customHeight="1">
      <c r="I341" s="7"/>
      <c r="J341" s="7"/>
      <c r="K341" s="7"/>
    </row>
    <row r="342" spans="9:11" ht="15" customHeight="1">
      <c r="I342" s="7"/>
      <c r="J342" s="7"/>
      <c r="K342" s="7"/>
    </row>
    <row r="343" spans="9:11" ht="15" customHeight="1">
      <c r="I343" s="7"/>
      <c r="J343" s="7"/>
      <c r="K343" s="7"/>
    </row>
    <row r="344" spans="9:11" ht="15" customHeight="1">
      <c r="I344" s="7"/>
      <c r="J344" s="7"/>
      <c r="K344" s="7"/>
    </row>
    <row r="345" spans="9:11" ht="15" customHeight="1">
      <c r="I345" s="7"/>
      <c r="J345" s="7"/>
      <c r="K345" s="7"/>
    </row>
    <row r="346" spans="9:11" ht="15" customHeight="1">
      <c r="I346" s="7"/>
      <c r="J346" s="7"/>
      <c r="K346" s="7"/>
    </row>
    <row r="347" spans="9:11" ht="15" customHeight="1">
      <c r="I347" s="7"/>
      <c r="J347" s="7"/>
      <c r="K347" s="7"/>
    </row>
    <row r="348" spans="9:11" ht="15" customHeight="1">
      <c r="I348" s="7"/>
      <c r="J348" s="7"/>
      <c r="K348" s="7"/>
    </row>
    <row r="349" spans="9:11" ht="15" customHeight="1">
      <c r="I349" s="7"/>
      <c r="J349" s="7"/>
      <c r="K349" s="7"/>
    </row>
    <row r="350" spans="9:11" ht="15" customHeight="1">
      <c r="I350" s="7"/>
      <c r="J350" s="7"/>
      <c r="K350" s="7"/>
    </row>
    <row r="351" spans="9:11" ht="15" customHeight="1">
      <c r="I351" s="7"/>
      <c r="J351" s="7"/>
      <c r="K351" s="7"/>
    </row>
    <row r="352" spans="9:11" ht="15" customHeight="1">
      <c r="I352" s="7"/>
      <c r="J352" s="7"/>
      <c r="K352" s="7"/>
    </row>
    <row r="353" spans="9:11" ht="15" customHeight="1">
      <c r="I353" s="7"/>
      <c r="J353" s="7"/>
      <c r="K353" s="7"/>
    </row>
    <row r="354" spans="9:11" ht="15" customHeight="1">
      <c r="I354" s="7"/>
      <c r="J354" s="7"/>
      <c r="K354" s="7"/>
    </row>
    <row r="355" spans="9:11" ht="15" customHeight="1">
      <c r="I355" s="7"/>
      <c r="J355" s="7"/>
      <c r="K355" s="7"/>
    </row>
    <row r="356" spans="9:11" ht="15" customHeight="1">
      <c r="I356" s="7"/>
      <c r="J356" s="7"/>
      <c r="K356" s="7"/>
    </row>
    <row r="357" spans="9:11" ht="15" customHeight="1">
      <c r="I357" s="7"/>
      <c r="J357" s="7"/>
      <c r="K357" s="7"/>
    </row>
    <row r="358" spans="9:11" ht="15" customHeight="1">
      <c r="I358" s="7"/>
      <c r="J358" s="7"/>
      <c r="K358" s="7"/>
    </row>
    <row r="359" spans="9:11" ht="15" customHeight="1">
      <c r="I359" s="7"/>
      <c r="J359" s="7"/>
      <c r="K359" s="7"/>
    </row>
    <row r="360" spans="9:11" ht="15" customHeight="1">
      <c r="I360" s="7"/>
      <c r="J360" s="7"/>
      <c r="K360" s="7"/>
    </row>
    <row r="361" spans="9:11" ht="15" customHeight="1">
      <c r="I361" s="7"/>
      <c r="J361" s="7"/>
      <c r="K361" s="7"/>
    </row>
    <row r="362" spans="9:11" ht="15" customHeight="1">
      <c r="I362" s="7"/>
      <c r="J362" s="7"/>
      <c r="K362" s="7"/>
    </row>
    <row r="363" spans="9:11" ht="15" customHeight="1">
      <c r="I363" s="7"/>
      <c r="J363" s="7"/>
      <c r="K363" s="7"/>
    </row>
    <row r="364" spans="9:11" ht="15" customHeight="1">
      <c r="I364" s="7"/>
      <c r="J364" s="7"/>
      <c r="K364" s="7"/>
    </row>
    <row r="365" spans="9:11" ht="15" customHeight="1">
      <c r="I365" s="7"/>
      <c r="J365" s="7"/>
      <c r="K365" s="7"/>
    </row>
    <row r="366" spans="9:11" ht="15" customHeight="1">
      <c r="I366" s="7"/>
      <c r="J366" s="7"/>
      <c r="K366" s="7"/>
    </row>
    <row r="367" spans="9:11" ht="15" customHeight="1">
      <c r="I367" s="7"/>
      <c r="J367" s="7"/>
      <c r="K367" s="7"/>
    </row>
    <row r="368" spans="9:11" ht="15" customHeight="1">
      <c r="I368" s="7"/>
      <c r="J368" s="7"/>
      <c r="K368" s="7"/>
    </row>
    <row r="369" spans="9:11" ht="15" customHeight="1">
      <c r="I369" s="7"/>
      <c r="J369" s="7"/>
      <c r="K369" s="7"/>
    </row>
    <row r="370" spans="9:11" ht="15" customHeight="1">
      <c r="I370" s="7"/>
      <c r="J370" s="7"/>
      <c r="K370" s="7"/>
    </row>
    <row r="371" spans="9:11" ht="15" customHeight="1">
      <c r="I371" s="7"/>
      <c r="J371" s="7"/>
      <c r="K371" s="7"/>
    </row>
    <row r="372" spans="9:11" ht="15" customHeight="1">
      <c r="I372" s="7"/>
      <c r="J372" s="7"/>
      <c r="K372" s="7"/>
    </row>
    <row r="373" spans="9:11" ht="15" customHeight="1">
      <c r="I373" s="7"/>
      <c r="J373" s="7"/>
      <c r="K373" s="7"/>
    </row>
    <row r="374" spans="9:11" ht="15" customHeight="1">
      <c r="I374" s="7"/>
      <c r="J374" s="7"/>
      <c r="K374" s="7"/>
    </row>
    <row r="375" spans="9:11" ht="15" customHeight="1">
      <c r="I375" s="7"/>
      <c r="J375" s="7"/>
      <c r="K375" s="7"/>
    </row>
    <row r="376" spans="9:11" ht="15" customHeight="1">
      <c r="I376" s="7"/>
      <c r="J376" s="7"/>
      <c r="K376" s="7"/>
    </row>
    <row r="377" spans="9:11" ht="15" customHeight="1">
      <c r="I377" s="7"/>
      <c r="J377" s="7"/>
      <c r="K377" s="7"/>
    </row>
    <row r="378" spans="9:11" ht="15" customHeight="1">
      <c r="I378" s="7"/>
      <c r="J378" s="7"/>
      <c r="K378" s="7"/>
    </row>
    <row r="379" spans="9:11" ht="15" customHeight="1">
      <c r="I379" s="7"/>
      <c r="J379" s="7"/>
      <c r="K379" s="7"/>
    </row>
    <row r="380" spans="9:11" ht="15" customHeight="1">
      <c r="I380" s="7"/>
      <c r="J380" s="7"/>
      <c r="K380" s="7"/>
    </row>
    <row r="381" spans="9:11" ht="15" customHeight="1">
      <c r="I381" s="7"/>
      <c r="J381" s="7"/>
      <c r="K381" s="7"/>
    </row>
    <row r="382" spans="9:11" ht="15" customHeight="1">
      <c r="I382" s="7"/>
      <c r="J382" s="7"/>
      <c r="K382" s="7"/>
    </row>
    <row r="383" spans="9:11" ht="15" customHeight="1">
      <c r="I383" s="7"/>
      <c r="J383" s="7"/>
      <c r="K383" s="7"/>
    </row>
    <row r="384" spans="9:11" ht="15" customHeight="1">
      <c r="I384" s="7"/>
      <c r="J384" s="7"/>
      <c r="K384" s="7"/>
    </row>
    <row r="385" spans="9:11" ht="15" customHeight="1">
      <c r="I385" s="7"/>
      <c r="J385" s="7"/>
      <c r="K385" s="7"/>
    </row>
    <row r="386" spans="9:11" ht="15" customHeight="1">
      <c r="I386" s="7"/>
      <c r="J386" s="7"/>
      <c r="K386" s="7"/>
    </row>
    <row r="387" spans="9:11" ht="15" customHeight="1">
      <c r="I387" s="7"/>
      <c r="J387" s="7"/>
      <c r="K387" s="7"/>
    </row>
    <row r="388" spans="9:11" ht="15" customHeight="1">
      <c r="I388" s="7"/>
      <c r="J388" s="7"/>
      <c r="K388" s="7"/>
    </row>
    <row r="389" spans="9:11" ht="15" customHeight="1">
      <c r="I389" s="7"/>
      <c r="J389" s="7"/>
      <c r="K389" s="7"/>
    </row>
    <row r="390" spans="9:11" ht="15" customHeight="1">
      <c r="I390" s="7"/>
      <c r="J390" s="7"/>
      <c r="K390" s="7"/>
    </row>
    <row r="391" spans="9:11" ht="15" customHeight="1">
      <c r="I391" s="7"/>
      <c r="J391" s="7"/>
      <c r="K391" s="7"/>
    </row>
    <row r="392" spans="9:11" ht="15" customHeight="1">
      <c r="I392" s="7"/>
      <c r="J392" s="7"/>
      <c r="K392" s="7"/>
    </row>
    <row r="393" spans="9:11" ht="15" customHeight="1">
      <c r="I393" s="7"/>
      <c r="J393" s="7"/>
      <c r="K393" s="7"/>
    </row>
    <row r="394" spans="9:11" ht="15" customHeight="1">
      <c r="I394" s="7"/>
      <c r="J394" s="7"/>
      <c r="K394" s="7"/>
    </row>
    <row r="395" spans="9:11" ht="15" customHeight="1">
      <c r="I395" s="7"/>
      <c r="J395" s="7"/>
      <c r="K395" s="7"/>
    </row>
    <row r="396" spans="9:11" ht="15" customHeight="1">
      <c r="I396" s="7"/>
      <c r="J396" s="7"/>
      <c r="K396" s="7"/>
    </row>
    <row r="397" spans="9:11" ht="15" customHeight="1">
      <c r="I397" s="7"/>
      <c r="J397" s="7"/>
      <c r="K397" s="7"/>
    </row>
    <row r="398" spans="9:11" ht="15" customHeight="1">
      <c r="I398" s="7"/>
      <c r="J398" s="7"/>
      <c r="K398" s="7"/>
    </row>
    <row r="399" spans="9:11" ht="15" customHeight="1">
      <c r="I399" s="7"/>
      <c r="J399" s="7"/>
      <c r="K399" s="7"/>
    </row>
    <row r="400" spans="9:11" ht="15" customHeight="1">
      <c r="I400" s="7"/>
      <c r="J400" s="7"/>
      <c r="K400" s="7"/>
    </row>
    <row r="401" spans="7:11" ht="15" customHeight="1">
      <c r="I401" s="7"/>
      <c r="J401" s="7"/>
      <c r="K401" s="7"/>
    </row>
    <row r="402" spans="7:11" ht="15" customHeight="1">
      <c r="I402" s="7"/>
      <c r="J402" s="7"/>
      <c r="K402" s="7"/>
    </row>
    <row r="403" spans="7:11" ht="15" customHeight="1">
      <c r="I403" s="7"/>
      <c r="J403" s="7"/>
      <c r="K403" s="7"/>
    </row>
    <row r="404" spans="7:11" ht="15" customHeight="1">
      <c r="I404" s="7"/>
      <c r="J404" s="7"/>
      <c r="K404" s="7"/>
    </row>
    <row r="405" spans="7:11" ht="15" customHeight="1">
      <c r="I405" s="7"/>
      <c r="J405" s="7"/>
      <c r="K405" s="7"/>
    </row>
    <row r="406" spans="7:11" ht="15" customHeight="1">
      <c r="I406" s="7"/>
      <c r="J406" s="7"/>
      <c r="K406" s="7"/>
    </row>
    <row r="407" spans="7:11" ht="15" customHeight="1">
      <c r="I407" s="7"/>
      <c r="J407" s="7"/>
      <c r="K407" s="7"/>
    </row>
    <row r="408" spans="7:11" ht="15" customHeight="1">
      <c r="I408" s="7"/>
      <c r="J408" s="7"/>
      <c r="K408" s="7"/>
    </row>
    <row r="409" spans="7:11" ht="15" customHeight="1">
      <c r="I409" s="7"/>
      <c r="J409" s="7"/>
      <c r="K409" s="7"/>
    </row>
    <row r="410" spans="7:11" ht="15" customHeight="1">
      <c r="I410" s="7"/>
      <c r="J410" s="7"/>
      <c r="K410" s="7"/>
    </row>
    <row r="411" spans="7:11" ht="15" customHeight="1">
      <c r="G411" s="7"/>
      <c r="H411" s="7"/>
      <c r="I411" s="7"/>
      <c r="J411" s="7"/>
      <c r="K411" s="7"/>
    </row>
    <row r="412" spans="7:11" ht="15" customHeight="1">
      <c r="G412" s="7"/>
      <c r="H412" s="7"/>
      <c r="I412" s="7"/>
      <c r="J412" s="7"/>
      <c r="K412" s="7"/>
    </row>
    <row r="413" spans="7:11" ht="15" customHeight="1">
      <c r="G413" s="7"/>
      <c r="H413" s="7"/>
      <c r="I413" s="7"/>
      <c r="J413" s="7"/>
      <c r="K413" s="7"/>
    </row>
    <row r="414" spans="7:11" ht="15" customHeight="1">
      <c r="G414" s="7"/>
      <c r="H414" s="7"/>
      <c r="I414" s="7"/>
      <c r="J414" s="7"/>
      <c r="K414" s="7"/>
    </row>
    <row r="415" spans="7:11" ht="15" customHeight="1">
      <c r="G415" s="7"/>
      <c r="H415" s="7"/>
      <c r="I415" s="7"/>
      <c r="J415" s="7"/>
      <c r="K415" s="7"/>
    </row>
    <row r="416" spans="7:11" ht="15" customHeight="1">
      <c r="G416" s="7"/>
      <c r="H416" s="7"/>
      <c r="I416" s="7"/>
      <c r="J416" s="7"/>
      <c r="K416" s="7"/>
    </row>
    <row r="417" spans="7:11" ht="15" customHeight="1">
      <c r="G417" s="7"/>
      <c r="H417" s="7"/>
      <c r="I417" s="7"/>
      <c r="J417" s="7"/>
      <c r="K417" s="7"/>
    </row>
    <row r="418" spans="7:11" ht="15" customHeight="1">
      <c r="G418" s="7"/>
      <c r="H418" s="7"/>
      <c r="I418" s="7"/>
      <c r="J418" s="7"/>
      <c r="K418" s="7"/>
    </row>
    <row r="419" spans="7:11" ht="15" customHeight="1">
      <c r="G419" s="7"/>
      <c r="H419" s="7"/>
      <c r="I419" s="7"/>
      <c r="J419" s="7"/>
      <c r="K419" s="7"/>
    </row>
    <row r="420" spans="7:11" ht="15" customHeight="1">
      <c r="G420" s="7"/>
      <c r="H420" s="7"/>
      <c r="I420" s="7"/>
      <c r="J420" s="7"/>
      <c r="K420" s="7"/>
    </row>
    <row r="421" spans="7:11" ht="15" customHeight="1">
      <c r="G421" s="7"/>
      <c r="H421" s="7"/>
      <c r="I421" s="7"/>
      <c r="J421" s="7"/>
      <c r="K421" s="7"/>
    </row>
    <row r="422" spans="7:11" ht="15" customHeight="1">
      <c r="G422" s="7"/>
      <c r="H422" s="7"/>
      <c r="I422" s="7"/>
      <c r="J422" s="7"/>
      <c r="K422" s="7"/>
    </row>
    <row r="423" spans="7:11" ht="15" customHeight="1">
      <c r="G423" s="7"/>
      <c r="H423" s="7"/>
      <c r="I423" s="7"/>
      <c r="J423" s="7"/>
      <c r="K423" s="7"/>
    </row>
    <row r="424" spans="7:11" ht="15" customHeight="1">
      <c r="G424" s="7"/>
      <c r="H424" s="7"/>
      <c r="I424" s="7"/>
      <c r="J424" s="7"/>
      <c r="K424" s="7"/>
    </row>
    <row r="425" spans="7:11" ht="15" customHeight="1">
      <c r="G425" s="7"/>
      <c r="H425" s="7"/>
      <c r="I425" s="7"/>
      <c r="J425" s="7"/>
      <c r="K425" s="7"/>
    </row>
    <row r="426" spans="7:11" ht="15" customHeight="1">
      <c r="G426" s="7"/>
      <c r="H426" s="7"/>
      <c r="I426" s="7"/>
      <c r="J426" s="7"/>
      <c r="K426" s="7"/>
    </row>
    <row r="427" spans="7:11" ht="15" customHeight="1">
      <c r="G427" s="7"/>
      <c r="H427" s="7"/>
      <c r="I427" s="7"/>
      <c r="J427" s="7"/>
      <c r="K427" s="7"/>
    </row>
    <row r="428" spans="7:11" ht="15" customHeight="1">
      <c r="G428" s="7"/>
      <c r="H428" s="7"/>
      <c r="I428" s="7"/>
      <c r="J428" s="7"/>
      <c r="K428" s="7"/>
    </row>
    <row r="429" spans="7:11" ht="15" customHeight="1">
      <c r="G429" s="7"/>
      <c r="H429" s="7"/>
      <c r="I429" s="7"/>
      <c r="J429" s="7"/>
      <c r="K429" s="7"/>
    </row>
    <row r="430" spans="7:11" ht="15" customHeight="1">
      <c r="G430" s="7"/>
      <c r="H430" s="7"/>
      <c r="I430" s="7"/>
      <c r="J430" s="7"/>
      <c r="K430" s="7"/>
    </row>
    <row r="431" spans="7:11" ht="15" customHeight="1">
      <c r="G431" s="7"/>
      <c r="H431" s="7"/>
      <c r="I431" s="7"/>
      <c r="J431" s="7"/>
      <c r="K431" s="7"/>
    </row>
    <row r="432" spans="7:11" ht="15" customHeight="1">
      <c r="G432" s="7"/>
      <c r="H432" s="7"/>
      <c r="I432" s="7"/>
      <c r="J432" s="7"/>
      <c r="K432" s="7"/>
    </row>
    <row r="433" spans="7:11" ht="15" customHeight="1">
      <c r="G433" s="7"/>
      <c r="H433" s="7"/>
      <c r="I433" s="7"/>
      <c r="J433" s="7"/>
      <c r="K433" s="7"/>
    </row>
    <row r="434" spans="7:11" ht="15" customHeight="1">
      <c r="G434" s="7"/>
      <c r="H434" s="7"/>
      <c r="I434" s="7"/>
      <c r="J434" s="7"/>
      <c r="K434" s="7"/>
    </row>
    <row r="435" spans="7:11" ht="15" customHeight="1">
      <c r="G435" s="7"/>
      <c r="H435" s="7"/>
      <c r="I435" s="7"/>
      <c r="J435" s="7"/>
      <c r="K435" s="7"/>
    </row>
    <row r="436" spans="7:11" ht="15" customHeight="1">
      <c r="G436" s="7"/>
      <c r="H436" s="7"/>
      <c r="I436" s="7"/>
      <c r="J436" s="7"/>
      <c r="K436" s="7"/>
    </row>
    <row r="437" spans="7:11" ht="15" customHeight="1">
      <c r="G437" s="7"/>
      <c r="H437" s="7"/>
      <c r="I437" s="7"/>
      <c r="J437" s="7"/>
      <c r="K437" s="7"/>
    </row>
    <row r="438" spans="7:11" ht="15" customHeight="1">
      <c r="G438" s="7"/>
      <c r="H438" s="7"/>
      <c r="I438" s="7"/>
      <c r="J438" s="7"/>
      <c r="K438" s="7"/>
    </row>
    <row r="439" spans="7:11" ht="15" customHeight="1">
      <c r="G439" s="7"/>
      <c r="H439" s="7"/>
      <c r="I439" s="7"/>
      <c r="J439" s="7"/>
      <c r="K439" s="7"/>
    </row>
    <row r="440" spans="7:11" ht="15" customHeight="1">
      <c r="G440" s="7"/>
      <c r="H440" s="7"/>
      <c r="I440" s="7"/>
      <c r="J440" s="7"/>
      <c r="K440" s="7"/>
    </row>
    <row r="441" spans="7:11" ht="15" customHeight="1">
      <c r="G441" s="7"/>
      <c r="H441" s="7"/>
      <c r="I441" s="7"/>
      <c r="J441" s="7"/>
      <c r="K441" s="7"/>
    </row>
    <row r="442" spans="7:11" ht="15" customHeight="1">
      <c r="G442" s="7"/>
      <c r="H442" s="7"/>
      <c r="I442" s="7"/>
      <c r="J442" s="7"/>
      <c r="K442" s="7"/>
    </row>
    <row r="443" spans="7:11" ht="15" customHeight="1">
      <c r="G443" s="7"/>
      <c r="H443" s="7"/>
      <c r="I443" s="7"/>
      <c r="J443" s="7"/>
      <c r="K443" s="7"/>
    </row>
    <row r="444" spans="7:11" ht="15" customHeight="1">
      <c r="G444" s="7"/>
      <c r="H444" s="7"/>
      <c r="I444" s="7"/>
      <c r="J444" s="7"/>
      <c r="K444" s="7"/>
    </row>
    <row r="445" spans="7:11" ht="15" customHeight="1">
      <c r="G445" s="7"/>
      <c r="H445" s="7"/>
      <c r="I445" s="7"/>
      <c r="J445" s="7"/>
      <c r="K445" s="7"/>
    </row>
    <row r="446" spans="7:11" ht="15" customHeight="1">
      <c r="G446" s="7"/>
      <c r="H446" s="7"/>
      <c r="I446" s="7"/>
      <c r="J446" s="7"/>
      <c r="K446" s="7"/>
    </row>
    <row r="447" spans="7:11" ht="15" customHeight="1">
      <c r="G447" s="7"/>
      <c r="H447" s="7"/>
      <c r="I447" s="7"/>
      <c r="J447" s="7"/>
      <c r="K447" s="7"/>
    </row>
    <row r="448" spans="7:11" ht="15" customHeight="1">
      <c r="G448" s="7"/>
      <c r="H448" s="7"/>
      <c r="I448" s="7"/>
      <c r="J448" s="7"/>
      <c r="K448" s="7"/>
    </row>
    <row r="449" spans="7:11" ht="15" customHeight="1">
      <c r="G449" s="7"/>
      <c r="H449" s="7"/>
      <c r="I449" s="7"/>
      <c r="J449" s="7"/>
      <c r="K449" s="7"/>
    </row>
    <row r="450" spans="7:11" ht="15" customHeight="1">
      <c r="G450" s="7"/>
      <c r="H450" s="7"/>
      <c r="I450" s="7"/>
      <c r="J450" s="7"/>
      <c r="K450" s="7"/>
    </row>
    <row r="451" spans="7:11" ht="15" customHeight="1">
      <c r="G451" s="7"/>
      <c r="H451" s="7"/>
      <c r="I451" s="7"/>
      <c r="J451" s="7"/>
      <c r="K451" s="7"/>
    </row>
    <row r="452" spans="7:11" ht="15" customHeight="1">
      <c r="G452" s="7"/>
      <c r="H452" s="7"/>
      <c r="I452" s="7"/>
      <c r="J452" s="7"/>
      <c r="K452" s="7"/>
    </row>
    <row r="453" spans="7:11" ht="15" customHeight="1">
      <c r="G453" s="7"/>
      <c r="H453" s="7"/>
      <c r="I453" s="7"/>
      <c r="J453" s="7"/>
      <c r="K453" s="7"/>
    </row>
    <row r="454" spans="7:11" ht="15" customHeight="1">
      <c r="G454" s="7"/>
      <c r="H454" s="7"/>
      <c r="I454" s="7"/>
      <c r="J454" s="7"/>
      <c r="K454" s="7"/>
    </row>
    <row r="455" spans="7:11" ht="15" customHeight="1">
      <c r="G455" s="7"/>
      <c r="H455" s="7"/>
      <c r="I455" s="7"/>
      <c r="J455" s="7"/>
      <c r="K455" s="7"/>
    </row>
    <row r="456" spans="7:11" ht="15" customHeight="1">
      <c r="G456" s="7"/>
      <c r="H456" s="7"/>
      <c r="I456" s="7"/>
      <c r="J456" s="7"/>
      <c r="K456" s="7"/>
    </row>
    <row r="457" spans="7:11" ht="15" customHeight="1">
      <c r="G457" s="7"/>
      <c r="H457" s="7"/>
      <c r="I457" s="7"/>
      <c r="J457" s="7"/>
      <c r="K457" s="7"/>
    </row>
    <row r="458" spans="7:11" ht="15" customHeight="1">
      <c r="G458" s="7"/>
      <c r="H458" s="7"/>
      <c r="I458" s="7"/>
      <c r="J458" s="7"/>
      <c r="K458" s="7"/>
    </row>
    <row r="459" spans="7:11" ht="15" customHeight="1">
      <c r="G459" s="7"/>
      <c r="H459" s="7"/>
      <c r="I459" s="7"/>
      <c r="J459" s="7"/>
      <c r="K459" s="7"/>
    </row>
    <row r="460" spans="7:11" ht="15" customHeight="1">
      <c r="G460" s="7"/>
      <c r="H460" s="7"/>
      <c r="I460" s="7"/>
      <c r="J460" s="7"/>
      <c r="K460" s="7"/>
    </row>
    <row r="461" spans="7:11" ht="15" customHeight="1">
      <c r="G461" s="7"/>
      <c r="H461" s="7"/>
      <c r="I461" s="7"/>
      <c r="J461" s="7"/>
      <c r="K461" s="7"/>
    </row>
    <row r="462" spans="7:11" ht="15" customHeight="1">
      <c r="G462" s="7"/>
      <c r="H462" s="7"/>
      <c r="I462" s="7"/>
      <c r="J462" s="7"/>
      <c r="K462" s="7"/>
    </row>
    <row r="463" spans="7:11" ht="15" customHeight="1">
      <c r="G463" s="7"/>
      <c r="H463" s="7"/>
      <c r="I463" s="7"/>
      <c r="J463" s="7"/>
      <c r="K463" s="7"/>
    </row>
    <row r="464" spans="7:11" ht="15" customHeight="1">
      <c r="G464" s="7"/>
      <c r="H464" s="7"/>
      <c r="I464" s="7"/>
      <c r="J464" s="7"/>
      <c r="K464" s="7"/>
    </row>
    <row r="465" spans="7:11" ht="15" customHeight="1">
      <c r="G465" s="7"/>
      <c r="H465" s="7"/>
      <c r="I465" s="7"/>
      <c r="J465" s="7"/>
      <c r="K465" s="7"/>
    </row>
    <row r="466" spans="7:11" ht="15" customHeight="1">
      <c r="G466" s="7"/>
      <c r="H466" s="7"/>
      <c r="I466" s="7"/>
      <c r="J466" s="7"/>
      <c r="K466" s="7"/>
    </row>
    <row r="467" spans="7:11" ht="15" customHeight="1">
      <c r="G467" s="7"/>
      <c r="H467" s="7"/>
      <c r="I467" s="7"/>
      <c r="J467" s="7"/>
      <c r="K467" s="7"/>
    </row>
    <row r="468" spans="7:11" ht="15" customHeight="1">
      <c r="G468" s="7"/>
      <c r="H468" s="7"/>
      <c r="I468" s="7"/>
      <c r="J468" s="7"/>
      <c r="K468" s="7"/>
    </row>
    <row r="469" spans="7:11" ht="15" customHeight="1">
      <c r="G469" s="7"/>
      <c r="H469" s="7"/>
      <c r="I469" s="7"/>
      <c r="J469" s="7"/>
      <c r="K469" s="7"/>
    </row>
    <row r="470" spans="7:11" ht="15" customHeight="1">
      <c r="G470" s="7"/>
      <c r="H470" s="7"/>
      <c r="I470" s="7"/>
      <c r="J470" s="7"/>
      <c r="K470" s="7"/>
    </row>
    <row r="471" spans="7:11" ht="15" customHeight="1">
      <c r="G471" s="7"/>
      <c r="H471" s="7"/>
      <c r="I471" s="7"/>
      <c r="J471" s="7"/>
      <c r="K471" s="7"/>
    </row>
    <row r="472" spans="7:11" ht="15" customHeight="1">
      <c r="G472" s="7"/>
      <c r="H472" s="7"/>
      <c r="I472" s="7"/>
      <c r="J472" s="7"/>
      <c r="K472" s="7"/>
    </row>
    <row r="473" spans="7:11" ht="15" customHeight="1">
      <c r="G473" s="7"/>
      <c r="H473" s="7"/>
      <c r="I473" s="7"/>
      <c r="J473" s="7"/>
      <c r="K473" s="7"/>
    </row>
    <row r="474" spans="7:11" ht="15" customHeight="1">
      <c r="G474" s="7"/>
      <c r="H474" s="7"/>
      <c r="I474" s="7"/>
      <c r="J474" s="7"/>
      <c r="K474" s="7"/>
    </row>
    <row r="475" spans="7:11" ht="15" customHeight="1">
      <c r="G475" s="7"/>
      <c r="H475" s="7"/>
      <c r="I475" s="7"/>
      <c r="J475" s="7"/>
      <c r="K475" s="7"/>
    </row>
    <row r="476" spans="7:11" ht="15" customHeight="1">
      <c r="G476" s="7"/>
      <c r="H476" s="7"/>
      <c r="I476" s="7"/>
      <c r="J476" s="7"/>
      <c r="K476" s="7"/>
    </row>
    <row r="477" spans="7:11" ht="15" customHeight="1">
      <c r="G477" s="7"/>
      <c r="H477" s="7"/>
      <c r="I477" s="7"/>
      <c r="J477" s="7"/>
      <c r="K477" s="7"/>
    </row>
    <row r="478" spans="7:11" ht="15" customHeight="1">
      <c r="G478" s="7"/>
      <c r="H478" s="7"/>
      <c r="I478" s="7"/>
      <c r="J478" s="7"/>
      <c r="K478" s="7"/>
    </row>
    <row r="479" spans="7:11" ht="15" customHeight="1">
      <c r="G479" s="7"/>
      <c r="H479" s="7"/>
      <c r="I479" s="7"/>
      <c r="J479" s="7"/>
      <c r="K479" s="7"/>
    </row>
    <row r="480" spans="7:11" ht="15" customHeight="1">
      <c r="G480" s="7"/>
      <c r="H480" s="7"/>
      <c r="I480" s="7"/>
      <c r="J480" s="7"/>
      <c r="K480" s="7"/>
    </row>
    <row r="481" spans="7:11" ht="15" customHeight="1">
      <c r="G481" s="7"/>
      <c r="H481" s="7"/>
      <c r="I481" s="7"/>
      <c r="J481" s="7"/>
      <c r="K481" s="7"/>
    </row>
    <row r="482" spans="7:11" ht="15" customHeight="1">
      <c r="G482" s="7"/>
      <c r="H482" s="7"/>
      <c r="I482" s="7"/>
      <c r="J482" s="7"/>
      <c r="K482" s="7"/>
    </row>
    <row r="483" spans="7:11" ht="15" customHeight="1">
      <c r="G483" s="7"/>
      <c r="H483" s="7"/>
      <c r="I483" s="7"/>
      <c r="J483" s="7"/>
      <c r="K483" s="7"/>
    </row>
    <row r="484" spans="7:11" ht="15" customHeight="1">
      <c r="G484" s="7"/>
      <c r="H484" s="7"/>
      <c r="I484" s="7"/>
      <c r="J484" s="7"/>
      <c r="K484" s="7"/>
    </row>
    <row r="485" spans="7:11" ht="15" customHeight="1">
      <c r="G485" s="7"/>
      <c r="H485" s="7"/>
      <c r="I485" s="7"/>
      <c r="J485" s="7"/>
      <c r="K485" s="7"/>
    </row>
    <row r="486" spans="7:11" ht="15" customHeight="1">
      <c r="G486" s="7"/>
      <c r="H486" s="7"/>
      <c r="I486" s="7"/>
      <c r="J486" s="7"/>
      <c r="K486" s="7"/>
    </row>
    <row r="487" spans="7:11" ht="15" customHeight="1">
      <c r="G487" s="7"/>
      <c r="H487" s="7"/>
      <c r="I487" s="7"/>
      <c r="J487" s="7"/>
      <c r="K487" s="7"/>
    </row>
    <row r="488" spans="7:11" ht="15" customHeight="1">
      <c r="G488" s="7"/>
      <c r="H488" s="7"/>
      <c r="I488" s="7"/>
      <c r="J488" s="7"/>
      <c r="K488" s="7"/>
    </row>
    <row r="489" spans="7:11" ht="15" customHeight="1">
      <c r="G489" s="7"/>
      <c r="H489" s="7"/>
      <c r="I489" s="7"/>
      <c r="J489" s="7"/>
      <c r="K489" s="7"/>
    </row>
    <row r="490" spans="7:11" ht="15" customHeight="1">
      <c r="G490" s="7"/>
      <c r="H490" s="7"/>
      <c r="I490" s="7"/>
      <c r="J490" s="7"/>
      <c r="K490" s="7"/>
    </row>
    <row r="491" spans="7:11" ht="15" customHeight="1">
      <c r="G491" s="7"/>
      <c r="H491" s="7"/>
      <c r="I491" s="7"/>
      <c r="J491" s="7"/>
      <c r="K491" s="7"/>
    </row>
    <row r="492" spans="7:11" ht="15" customHeight="1">
      <c r="G492" s="7"/>
      <c r="H492" s="7"/>
      <c r="I492" s="7"/>
      <c r="J492" s="7"/>
      <c r="K492" s="7"/>
    </row>
    <row r="493" spans="7:11" ht="15" customHeight="1">
      <c r="G493" s="7"/>
      <c r="H493" s="7"/>
      <c r="I493" s="7"/>
      <c r="J493" s="7"/>
      <c r="K493" s="7"/>
    </row>
    <row r="494" spans="7:11" ht="15" customHeight="1">
      <c r="G494" s="7"/>
      <c r="H494" s="7"/>
      <c r="I494" s="7"/>
      <c r="J494" s="7"/>
      <c r="K494" s="7"/>
    </row>
    <row r="495" spans="7:11" ht="15" customHeight="1">
      <c r="G495" s="7"/>
      <c r="H495" s="7"/>
      <c r="I495" s="7"/>
      <c r="J495" s="7"/>
      <c r="K495" s="7"/>
    </row>
    <row r="496" spans="7:11" ht="15" customHeight="1">
      <c r="G496" s="7"/>
      <c r="H496" s="7"/>
      <c r="I496" s="7"/>
      <c r="J496" s="7"/>
      <c r="K496" s="7"/>
    </row>
    <row r="497" spans="7:11" ht="15" customHeight="1">
      <c r="G497" s="7"/>
      <c r="H497" s="7"/>
      <c r="I497" s="7"/>
      <c r="J497" s="7"/>
      <c r="K497" s="7"/>
    </row>
    <row r="498" spans="7:11" ht="15" customHeight="1">
      <c r="G498" s="7"/>
      <c r="H498" s="7"/>
      <c r="I498" s="7"/>
      <c r="J498" s="7"/>
      <c r="K498" s="7"/>
    </row>
    <row r="499" spans="7:11" ht="15" customHeight="1">
      <c r="G499" s="7"/>
      <c r="H499" s="7"/>
      <c r="I499" s="7"/>
      <c r="J499" s="7"/>
      <c r="K499" s="7"/>
    </row>
    <row r="500" spans="7:11" ht="15" customHeight="1">
      <c r="G500" s="7"/>
      <c r="H500" s="7"/>
      <c r="I500" s="7"/>
      <c r="J500" s="7"/>
      <c r="K500" s="7"/>
    </row>
    <row r="501" spans="7:11" ht="15" customHeight="1">
      <c r="G501" s="7"/>
      <c r="H501" s="7"/>
      <c r="I501" s="7"/>
      <c r="J501" s="7"/>
      <c r="K501" s="7"/>
    </row>
    <row r="502" spans="7:11" ht="15" customHeight="1">
      <c r="G502" s="7"/>
      <c r="H502" s="7"/>
      <c r="I502" s="7"/>
      <c r="J502" s="7"/>
      <c r="K502" s="7"/>
    </row>
    <row r="503" spans="7:11" ht="15" customHeight="1">
      <c r="G503" s="7"/>
      <c r="H503" s="7"/>
      <c r="I503" s="7"/>
      <c r="J503" s="7"/>
      <c r="K503" s="7"/>
    </row>
    <row r="504" spans="7:11" ht="15" customHeight="1">
      <c r="G504" s="7"/>
      <c r="H504" s="7"/>
      <c r="I504" s="7"/>
      <c r="J504" s="7"/>
      <c r="K504" s="7"/>
    </row>
    <row r="505" spans="7:11" ht="15" customHeight="1">
      <c r="G505" s="7"/>
      <c r="H505" s="7"/>
      <c r="I505" s="7"/>
      <c r="J505" s="7"/>
      <c r="K505" s="7"/>
    </row>
    <row r="506" spans="7:11" ht="15" customHeight="1">
      <c r="G506" s="7"/>
      <c r="H506" s="7"/>
      <c r="I506" s="7"/>
      <c r="J506" s="7"/>
      <c r="K506" s="7"/>
    </row>
    <row r="507" spans="7:11" ht="15" customHeight="1">
      <c r="G507" s="7"/>
      <c r="H507" s="7"/>
      <c r="I507" s="7"/>
      <c r="J507" s="7"/>
      <c r="K507" s="7"/>
    </row>
    <row r="508" spans="7:11" ht="15" customHeight="1">
      <c r="G508" s="7"/>
      <c r="H508" s="7"/>
      <c r="I508" s="7"/>
      <c r="J508" s="7"/>
      <c r="K508" s="7"/>
    </row>
    <row r="509" spans="7:11" ht="15" customHeight="1">
      <c r="G509" s="7"/>
      <c r="H509" s="7"/>
      <c r="I509" s="7"/>
      <c r="J509" s="7"/>
      <c r="K509" s="7"/>
    </row>
    <row r="510" spans="7:11" ht="15" customHeight="1">
      <c r="G510" s="7"/>
      <c r="H510" s="7"/>
      <c r="I510" s="7"/>
      <c r="J510" s="7"/>
      <c r="K510" s="7"/>
    </row>
    <row r="511" spans="7:11" ht="15" customHeight="1">
      <c r="G511" s="7"/>
      <c r="H511" s="7"/>
      <c r="I511" s="7"/>
      <c r="J511" s="7"/>
      <c r="K511" s="7"/>
    </row>
    <row r="512" spans="7:11" ht="15" customHeight="1">
      <c r="G512" s="7"/>
      <c r="H512" s="7"/>
      <c r="I512" s="7"/>
      <c r="J512" s="7"/>
      <c r="K512" s="7"/>
    </row>
    <row r="513" spans="7:11" ht="15" customHeight="1">
      <c r="G513" s="7"/>
      <c r="H513" s="7"/>
      <c r="I513" s="7"/>
      <c r="J513" s="7"/>
      <c r="K513" s="7"/>
    </row>
    <row r="514" spans="7:11" ht="15" customHeight="1">
      <c r="G514" s="7"/>
      <c r="H514" s="7"/>
      <c r="I514" s="7"/>
      <c r="J514" s="7"/>
      <c r="K514" s="7"/>
    </row>
    <row r="515" spans="7:11" ht="15" customHeight="1">
      <c r="G515" s="7"/>
      <c r="H515" s="7"/>
      <c r="I515" s="7"/>
      <c r="J515" s="7"/>
      <c r="K515" s="7"/>
    </row>
    <row r="516" spans="7:11" ht="15" customHeight="1">
      <c r="G516" s="7"/>
      <c r="H516" s="7"/>
      <c r="I516" s="7"/>
      <c r="J516" s="7"/>
      <c r="K516" s="7"/>
    </row>
    <row r="517" spans="7:11" ht="15" customHeight="1">
      <c r="G517" s="7"/>
      <c r="H517" s="7"/>
      <c r="I517" s="7"/>
      <c r="J517" s="7"/>
      <c r="K517" s="7"/>
    </row>
    <row r="518" spans="7:11" ht="15" customHeight="1">
      <c r="G518" s="7"/>
      <c r="H518" s="7"/>
      <c r="I518" s="7"/>
      <c r="J518" s="7"/>
      <c r="K518" s="7"/>
    </row>
    <row r="519" spans="7:11" ht="15" customHeight="1">
      <c r="G519" s="7"/>
      <c r="H519" s="7"/>
      <c r="I519" s="7"/>
      <c r="J519" s="7"/>
      <c r="K519" s="7"/>
    </row>
    <row r="520" spans="7:11" ht="15" customHeight="1">
      <c r="G520" s="7"/>
      <c r="H520" s="7"/>
      <c r="I520" s="7"/>
      <c r="J520" s="7"/>
      <c r="K520" s="7"/>
    </row>
    <row r="521" spans="7:11" ht="15" customHeight="1">
      <c r="G521" s="7"/>
      <c r="H521" s="7"/>
      <c r="I521" s="7"/>
      <c r="J521" s="7"/>
      <c r="K521" s="7"/>
    </row>
    <row r="522" spans="7:11" ht="15" customHeight="1">
      <c r="G522" s="7"/>
      <c r="H522" s="7"/>
      <c r="I522" s="7"/>
      <c r="J522" s="7"/>
      <c r="K522" s="7"/>
    </row>
    <row r="523" spans="7:11" ht="15" customHeight="1">
      <c r="G523" s="7"/>
      <c r="H523" s="7"/>
      <c r="I523" s="7"/>
      <c r="J523" s="7"/>
      <c r="K523" s="7"/>
    </row>
    <row r="524" spans="7:11" ht="15" customHeight="1">
      <c r="G524" s="7"/>
      <c r="H524" s="7"/>
      <c r="I524" s="7"/>
      <c r="J524" s="7"/>
      <c r="K524" s="7"/>
    </row>
    <row r="525" spans="7:11" ht="15" customHeight="1">
      <c r="G525" s="7"/>
      <c r="H525" s="7"/>
      <c r="I525" s="7"/>
      <c r="J525" s="7"/>
      <c r="K525" s="7"/>
    </row>
    <row r="526" spans="7:11" ht="15" customHeight="1">
      <c r="G526" s="7"/>
      <c r="H526" s="7"/>
      <c r="I526" s="7"/>
      <c r="J526" s="7"/>
      <c r="K526" s="7"/>
    </row>
    <row r="527" spans="7:11" ht="15" customHeight="1">
      <c r="G527" s="7"/>
      <c r="H527" s="7"/>
      <c r="I527" s="7"/>
      <c r="J527" s="7"/>
      <c r="K527" s="7"/>
    </row>
    <row r="528" spans="7:11" ht="15" customHeight="1">
      <c r="G528" s="7"/>
      <c r="H528" s="7"/>
      <c r="I528" s="7"/>
      <c r="J528" s="7"/>
      <c r="K528" s="7"/>
    </row>
    <row r="529" spans="7:11" ht="15" customHeight="1">
      <c r="G529" s="7"/>
      <c r="H529" s="7"/>
      <c r="I529" s="7"/>
      <c r="J529" s="7"/>
      <c r="K529" s="7"/>
    </row>
    <row r="530" spans="7:11" ht="15" customHeight="1">
      <c r="G530" s="7"/>
      <c r="H530" s="7"/>
      <c r="I530" s="7"/>
      <c r="J530" s="7"/>
      <c r="K530" s="7"/>
    </row>
    <row r="531" spans="7:11" ht="15" customHeight="1">
      <c r="G531" s="7"/>
      <c r="H531" s="7"/>
      <c r="I531" s="7"/>
      <c r="J531" s="7"/>
      <c r="K531" s="7"/>
    </row>
    <row r="532" spans="7:11" ht="15" customHeight="1">
      <c r="G532" s="7"/>
      <c r="H532" s="7"/>
      <c r="I532" s="7"/>
      <c r="J532" s="7"/>
      <c r="K532" s="7"/>
    </row>
    <row r="533" spans="7:11" ht="15" customHeight="1">
      <c r="G533" s="7"/>
      <c r="H533" s="7"/>
      <c r="I533" s="7"/>
      <c r="J533" s="7"/>
      <c r="K533" s="7"/>
    </row>
    <row r="534" spans="7:11" ht="15" customHeight="1">
      <c r="G534" s="7"/>
      <c r="H534" s="7"/>
      <c r="I534" s="7"/>
      <c r="J534" s="7"/>
      <c r="K534" s="7"/>
    </row>
    <row r="535" spans="7:11" ht="15" customHeight="1">
      <c r="G535" s="7"/>
      <c r="H535" s="7"/>
      <c r="I535" s="7"/>
      <c r="J535" s="7"/>
      <c r="K535" s="7"/>
    </row>
    <row r="536" spans="7:11" ht="15" customHeight="1">
      <c r="G536" s="7"/>
      <c r="H536" s="7"/>
      <c r="I536" s="7"/>
      <c r="J536" s="7"/>
      <c r="K536" s="7"/>
    </row>
    <row r="537" spans="7:11" ht="15" customHeight="1">
      <c r="G537" s="7"/>
      <c r="H537" s="7"/>
      <c r="I537" s="7"/>
      <c r="J537" s="7"/>
      <c r="K537" s="7"/>
    </row>
    <row r="538" spans="7:11" ht="15" customHeight="1">
      <c r="G538" s="7"/>
      <c r="H538" s="7"/>
      <c r="I538" s="7"/>
      <c r="J538" s="7"/>
      <c r="K538" s="7"/>
    </row>
    <row r="539" spans="7:11" ht="15" customHeight="1">
      <c r="G539" s="7"/>
      <c r="H539" s="7"/>
      <c r="I539" s="7"/>
      <c r="J539" s="7"/>
      <c r="K539" s="7"/>
    </row>
    <row r="540" spans="7:11" ht="15" customHeight="1">
      <c r="G540" s="7"/>
      <c r="H540" s="7"/>
      <c r="I540" s="7"/>
      <c r="J540" s="7"/>
      <c r="K540" s="7"/>
    </row>
    <row r="541" spans="7:11" ht="15" customHeight="1">
      <c r="G541" s="7"/>
      <c r="H541" s="7"/>
      <c r="I541" s="7"/>
      <c r="J541" s="7"/>
      <c r="K541" s="7"/>
    </row>
    <row r="542" spans="7:11" ht="15" customHeight="1">
      <c r="G542" s="7"/>
      <c r="H542" s="7"/>
      <c r="I542" s="7"/>
      <c r="J542" s="7"/>
      <c r="K542" s="7"/>
    </row>
    <row r="543" spans="7:11" ht="15" customHeight="1">
      <c r="G543" s="7"/>
      <c r="H543" s="7"/>
      <c r="I543" s="7"/>
      <c r="J543" s="7"/>
      <c r="K543" s="7"/>
    </row>
    <row r="544" spans="7:11" ht="15" customHeight="1">
      <c r="G544" s="7"/>
      <c r="H544" s="7"/>
      <c r="I544" s="7"/>
      <c r="J544" s="7"/>
      <c r="K544" s="7"/>
    </row>
    <row r="545" spans="7:11" ht="15" customHeight="1">
      <c r="G545" s="7"/>
      <c r="H545" s="7"/>
      <c r="I545" s="7"/>
      <c r="J545" s="7"/>
      <c r="K545" s="7"/>
    </row>
    <row r="546" spans="7:11" ht="15" customHeight="1">
      <c r="G546" s="7"/>
      <c r="H546" s="7"/>
      <c r="I546" s="7"/>
      <c r="J546" s="7"/>
      <c r="K546" s="7"/>
    </row>
    <row r="547" spans="7:11" ht="15" customHeight="1">
      <c r="G547" s="7"/>
      <c r="H547" s="7"/>
      <c r="I547" s="7"/>
      <c r="J547" s="7"/>
      <c r="K547" s="7"/>
    </row>
    <row r="548" spans="7:11" ht="15" customHeight="1">
      <c r="G548" s="7"/>
      <c r="H548" s="7"/>
      <c r="I548" s="7"/>
      <c r="J548" s="7"/>
      <c r="K548" s="7"/>
    </row>
    <row r="549" spans="7:11" ht="15" customHeight="1">
      <c r="G549" s="7"/>
      <c r="H549" s="7"/>
      <c r="I549" s="7"/>
      <c r="J549" s="7"/>
      <c r="K549" s="7"/>
    </row>
    <row r="550" spans="7:11" ht="15" customHeight="1">
      <c r="G550" s="7"/>
      <c r="H550" s="7"/>
      <c r="I550" s="7"/>
      <c r="J550" s="7"/>
      <c r="K550" s="7"/>
    </row>
    <row r="551" spans="7:11" ht="15" customHeight="1">
      <c r="G551" s="7"/>
      <c r="H551" s="7"/>
      <c r="I551" s="7"/>
      <c r="J551" s="7"/>
      <c r="K551" s="7"/>
    </row>
    <row r="552" spans="7:11" ht="15" customHeight="1">
      <c r="G552" s="7"/>
      <c r="H552" s="7"/>
      <c r="I552" s="7"/>
      <c r="J552" s="7"/>
      <c r="K552" s="7"/>
    </row>
    <row r="553" spans="7:11" ht="15" customHeight="1">
      <c r="G553" s="7"/>
      <c r="H553" s="7"/>
      <c r="I553" s="7"/>
      <c r="J553" s="7"/>
      <c r="K553" s="7"/>
    </row>
    <row r="554" spans="7:11" ht="15" customHeight="1">
      <c r="G554" s="7"/>
      <c r="H554" s="7"/>
      <c r="I554" s="7"/>
      <c r="J554" s="7"/>
      <c r="K554" s="7"/>
    </row>
    <row r="555" spans="7:11" ht="15" customHeight="1">
      <c r="G555" s="7"/>
      <c r="H555" s="7"/>
      <c r="I555" s="7"/>
      <c r="J555" s="7"/>
      <c r="K555" s="7"/>
    </row>
    <row r="556" spans="7:11" ht="15" customHeight="1">
      <c r="G556" s="7"/>
      <c r="H556" s="7"/>
      <c r="I556" s="7"/>
      <c r="J556" s="7"/>
      <c r="K556" s="7"/>
    </row>
    <row r="557" spans="7:11" ht="15" customHeight="1">
      <c r="G557" s="7"/>
      <c r="H557" s="7"/>
      <c r="I557" s="7"/>
      <c r="J557" s="7"/>
      <c r="K557" s="7"/>
    </row>
    <row r="558" spans="7:11" ht="15" customHeight="1">
      <c r="G558" s="7"/>
      <c r="H558" s="7"/>
      <c r="I558" s="7"/>
      <c r="J558" s="7"/>
      <c r="K558" s="7"/>
    </row>
    <row r="559" spans="7:11" ht="15" customHeight="1">
      <c r="G559" s="7"/>
      <c r="H559" s="7"/>
      <c r="I559" s="7"/>
      <c r="J559" s="7"/>
      <c r="K559" s="7"/>
    </row>
    <row r="560" spans="7:11" ht="15" customHeight="1">
      <c r="G560" s="7"/>
      <c r="H560" s="7"/>
      <c r="I560" s="7"/>
      <c r="J560" s="7"/>
      <c r="K560" s="7"/>
    </row>
    <row r="561" spans="7:11" ht="15" customHeight="1">
      <c r="G561" s="7"/>
      <c r="H561" s="7"/>
      <c r="I561" s="7"/>
      <c r="J561" s="7"/>
      <c r="K561" s="7"/>
    </row>
    <row r="562" spans="7:11" ht="15" customHeight="1">
      <c r="G562" s="7"/>
      <c r="H562" s="7"/>
      <c r="I562" s="7"/>
      <c r="J562" s="7"/>
      <c r="K562" s="7"/>
    </row>
    <row r="563" spans="7:11" ht="15" customHeight="1">
      <c r="G563" s="7"/>
      <c r="H563" s="7"/>
      <c r="I563" s="7"/>
      <c r="J563" s="7"/>
      <c r="K563" s="7"/>
    </row>
    <row r="564" spans="7:11" ht="15" customHeight="1">
      <c r="G564" s="7"/>
      <c r="H564" s="7"/>
      <c r="I564" s="7"/>
      <c r="J564" s="7"/>
      <c r="K564" s="7"/>
    </row>
    <row r="565" spans="7:11" ht="15" customHeight="1">
      <c r="G565" s="7"/>
      <c r="H565" s="7"/>
      <c r="I565" s="7"/>
      <c r="J565" s="7"/>
      <c r="K565" s="7"/>
    </row>
    <row r="566" spans="7:11" ht="15" customHeight="1">
      <c r="G566" s="7"/>
      <c r="H566" s="7"/>
      <c r="I566" s="7"/>
      <c r="J566" s="7"/>
      <c r="K566" s="7"/>
    </row>
    <row r="567" spans="7:11" ht="15" customHeight="1">
      <c r="G567" s="7"/>
      <c r="H567" s="7"/>
      <c r="I567" s="7"/>
      <c r="J567" s="7"/>
      <c r="K567" s="7"/>
    </row>
    <row r="568" spans="7:11" ht="15" customHeight="1">
      <c r="G568" s="7"/>
      <c r="H568" s="7"/>
      <c r="I568" s="7"/>
      <c r="J568" s="7"/>
      <c r="K568" s="7"/>
    </row>
    <row r="569" spans="7:11" ht="15" customHeight="1">
      <c r="G569" s="7"/>
      <c r="H569" s="7"/>
      <c r="I569" s="7"/>
      <c r="J569" s="7"/>
      <c r="K569" s="7"/>
    </row>
    <row r="570" spans="7:11" ht="15" customHeight="1">
      <c r="G570" s="7"/>
      <c r="H570" s="7"/>
      <c r="I570" s="7"/>
      <c r="J570" s="7"/>
      <c r="K570" s="7"/>
    </row>
    <row r="571" spans="7:11" ht="15" customHeight="1">
      <c r="G571" s="7"/>
      <c r="H571" s="7"/>
      <c r="I571" s="7"/>
      <c r="J571" s="7"/>
      <c r="K571" s="7"/>
    </row>
    <row r="572" spans="7:11" ht="15" customHeight="1">
      <c r="G572" s="7"/>
      <c r="H572" s="7"/>
      <c r="I572" s="7"/>
      <c r="J572" s="7"/>
      <c r="K572" s="7"/>
    </row>
    <row r="573" spans="7:11" ht="15" customHeight="1">
      <c r="G573" s="7"/>
      <c r="H573" s="7"/>
      <c r="I573" s="7"/>
      <c r="J573" s="7"/>
      <c r="K573" s="7"/>
    </row>
    <row r="574" spans="7:11" ht="15" customHeight="1">
      <c r="G574" s="7"/>
      <c r="H574" s="7"/>
      <c r="I574" s="7"/>
      <c r="J574" s="7"/>
      <c r="K574" s="7"/>
    </row>
    <row r="575" spans="7:11" ht="15" customHeight="1">
      <c r="G575" s="7"/>
      <c r="H575" s="7"/>
      <c r="I575" s="7"/>
      <c r="J575" s="7"/>
      <c r="K575" s="7"/>
    </row>
    <row r="576" spans="7:11" ht="15" customHeight="1">
      <c r="G576" s="7"/>
      <c r="H576" s="7"/>
      <c r="I576" s="7"/>
      <c r="J576" s="7"/>
      <c r="K576" s="7"/>
    </row>
    <row r="577" spans="7:11" ht="15" customHeight="1">
      <c r="G577" s="7"/>
      <c r="H577" s="7"/>
      <c r="I577" s="7"/>
      <c r="J577" s="7"/>
      <c r="K577" s="7"/>
    </row>
    <row r="578" spans="7:11" ht="15" customHeight="1">
      <c r="G578" s="7"/>
      <c r="H578" s="7"/>
      <c r="I578" s="7"/>
      <c r="J578" s="7"/>
      <c r="K578" s="7"/>
    </row>
    <row r="579" spans="7:11" ht="15" customHeight="1">
      <c r="G579" s="7"/>
      <c r="H579" s="7"/>
      <c r="I579" s="7"/>
      <c r="J579" s="7"/>
      <c r="K579" s="7"/>
    </row>
    <row r="580" spans="7:11" ht="15" customHeight="1">
      <c r="G580" s="7"/>
      <c r="H580" s="7"/>
      <c r="I580" s="7"/>
      <c r="J580" s="7"/>
      <c r="K580" s="7"/>
    </row>
    <row r="581" spans="7:11" ht="15" customHeight="1">
      <c r="G581" s="7"/>
      <c r="H581" s="7"/>
      <c r="I581" s="7"/>
      <c r="J581" s="7"/>
      <c r="K581" s="7"/>
    </row>
    <row r="582" spans="7:11" ht="15" customHeight="1">
      <c r="G582" s="7"/>
      <c r="H582" s="7"/>
      <c r="I582" s="7"/>
      <c r="J582" s="7"/>
      <c r="K582" s="7"/>
    </row>
    <row r="583" spans="7:11" ht="15" customHeight="1">
      <c r="G583" s="7"/>
      <c r="H583" s="7"/>
      <c r="I583" s="7"/>
      <c r="J583" s="7"/>
      <c r="K583" s="7"/>
    </row>
    <row r="584" spans="7:11" ht="15" customHeight="1">
      <c r="G584" s="7"/>
      <c r="H584" s="7"/>
      <c r="I584" s="7"/>
      <c r="J584" s="7"/>
      <c r="K584" s="7"/>
    </row>
    <row r="585" spans="7:11" ht="15" customHeight="1">
      <c r="G585" s="7"/>
      <c r="H585" s="7"/>
      <c r="I585" s="7"/>
      <c r="J585" s="7"/>
      <c r="K585" s="7"/>
    </row>
    <row r="586" spans="7:11" ht="15" customHeight="1">
      <c r="G586" s="7"/>
      <c r="H586" s="7"/>
      <c r="I586" s="7"/>
      <c r="J586" s="7"/>
      <c r="K586" s="7"/>
    </row>
    <row r="587" spans="7:11" ht="15" customHeight="1">
      <c r="G587" s="7"/>
      <c r="H587" s="7"/>
      <c r="I587" s="7"/>
      <c r="J587" s="7"/>
      <c r="K587" s="7"/>
    </row>
    <row r="588" spans="7:11" ht="15" customHeight="1">
      <c r="G588" s="7"/>
      <c r="H588" s="7"/>
      <c r="I588" s="7"/>
      <c r="J588" s="7"/>
      <c r="K588" s="7"/>
    </row>
    <row r="589" spans="7:11" ht="15" customHeight="1">
      <c r="G589" s="7"/>
      <c r="H589" s="7"/>
      <c r="I589" s="7"/>
      <c r="J589" s="7"/>
      <c r="K589" s="7"/>
    </row>
    <row r="590" spans="7:11" ht="15" customHeight="1">
      <c r="G590" s="7"/>
      <c r="H590" s="7"/>
      <c r="I590" s="7"/>
      <c r="J590" s="7"/>
      <c r="K590" s="7"/>
    </row>
    <row r="591" spans="7:11" ht="15" customHeight="1">
      <c r="G591" s="7"/>
      <c r="H591" s="7"/>
      <c r="I591" s="7"/>
      <c r="J591" s="7"/>
      <c r="K591" s="7"/>
    </row>
    <row r="592" spans="7:11" ht="15" customHeight="1">
      <c r="G592" s="7"/>
      <c r="H592" s="7"/>
      <c r="I592" s="7"/>
      <c r="J592" s="7"/>
      <c r="K592" s="7"/>
    </row>
    <row r="593" spans="7:11" ht="15" customHeight="1">
      <c r="G593" s="7"/>
      <c r="H593" s="7"/>
      <c r="I593" s="7"/>
      <c r="J593" s="7"/>
      <c r="K593" s="7"/>
    </row>
    <row r="594" spans="7:11" ht="15" customHeight="1">
      <c r="G594" s="7"/>
      <c r="H594" s="7"/>
      <c r="I594" s="7"/>
      <c r="J594" s="7"/>
      <c r="K594" s="7"/>
    </row>
    <row r="595" spans="7:11" ht="15" customHeight="1">
      <c r="G595" s="7"/>
      <c r="H595" s="7"/>
      <c r="I595" s="7"/>
      <c r="J595" s="7"/>
      <c r="K595" s="7"/>
    </row>
    <row r="596" spans="7:11" ht="15" customHeight="1">
      <c r="G596" s="7"/>
      <c r="H596" s="7"/>
      <c r="I596" s="7"/>
      <c r="J596" s="7"/>
      <c r="K596" s="7"/>
    </row>
    <row r="597" spans="7:11" ht="15" customHeight="1">
      <c r="G597" s="7"/>
      <c r="H597" s="7"/>
      <c r="I597" s="7"/>
      <c r="J597" s="7"/>
      <c r="K597" s="7"/>
    </row>
    <row r="598" spans="7:11" ht="15" customHeight="1">
      <c r="G598" s="7"/>
      <c r="H598" s="7"/>
      <c r="I598" s="7"/>
      <c r="J598" s="7"/>
      <c r="K598" s="7"/>
    </row>
    <row r="599" spans="7:11" ht="15" customHeight="1">
      <c r="G599" s="7"/>
      <c r="H599" s="7"/>
      <c r="I599" s="7"/>
      <c r="J599" s="7"/>
      <c r="K599" s="7"/>
    </row>
    <row r="600" spans="7:11" ht="15" customHeight="1">
      <c r="G600" s="7"/>
      <c r="H600" s="7"/>
      <c r="I600" s="7"/>
      <c r="J600" s="7"/>
      <c r="K600" s="7"/>
    </row>
    <row r="601" spans="7:11" ht="15" customHeight="1">
      <c r="G601" s="7"/>
      <c r="H601" s="7"/>
      <c r="I601" s="7"/>
      <c r="J601" s="7"/>
      <c r="K601" s="7"/>
    </row>
    <row r="602" spans="7:11" ht="15" customHeight="1">
      <c r="G602" s="7"/>
      <c r="H602" s="7"/>
      <c r="I602" s="7"/>
      <c r="J602" s="7"/>
      <c r="K602" s="7"/>
    </row>
    <row r="603" spans="7:11" ht="15" customHeight="1">
      <c r="G603" s="7"/>
      <c r="H603" s="7"/>
      <c r="I603" s="7"/>
      <c r="J603" s="7"/>
      <c r="K603" s="7"/>
    </row>
    <row r="604" spans="7:11" ht="15" customHeight="1">
      <c r="G604" s="7"/>
      <c r="H604" s="7"/>
      <c r="I604" s="7"/>
      <c r="J604" s="7"/>
      <c r="K604" s="7"/>
    </row>
    <row r="605" spans="7:11" ht="15" customHeight="1">
      <c r="G605" s="7"/>
      <c r="H605" s="7"/>
      <c r="I605" s="7"/>
      <c r="J605" s="7"/>
      <c r="K605" s="7"/>
    </row>
    <row r="606" spans="7:11" ht="15" customHeight="1">
      <c r="G606" s="7"/>
      <c r="H606" s="7"/>
      <c r="I606" s="7"/>
      <c r="J606" s="7"/>
      <c r="K606" s="7"/>
    </row>
    <row r="607" spans="7:11" ht="15" customHeight="1">
      <c r="G607" s="7"/>
      <c r="H607" s="7"/>
      <c r="I607" s="7"/>
      <c r="J607" s="7"/>
      <c r="K607" s="7"/>
    </row>
    <row r="608" spans="7:11" ht="15" customHeight="1">
      <c r="G608" s="7"/>
      <c r="H608" s="7"/>
      <c r="I608" s="7"/>
      <c r="J608" s="7"/>
      <c r="K608" s="7"/>
    </row>
    <row r="609" spans="7:11" ht="15" customHeight="1">
      <c r="G609" s="7"/>
      <c r="H609" s="7"/>
      <c r="I609" s="7"/>
      <c r="J609" s="7"/>
      <c r="K609" s="7"/>
    </row>
    <row r="610" spans="7:11" ht="15" customHeight="1">
      <c r="G610" s="7"/>
      <c r="H610" s="7"/>
      <c r="I610" s="7"/>
      <c r="J610" s="7"/>
      <c r="K610" s="7"/>
    </row>
    <row r="611" spans="7:11" ht="15" customHeight="1">
      <c r="G611" s="7"/>
      <c r="H611" s="7"/>
      <c r="I611" s="7"/>
      <c r="J611" s="7"/>
      <c r="K611" s="7"/>
    </row>
    <row r="612" spans="7:11" ht="15" customHeight="1">
      <c r="G612" s="7"/>
      <c r="H612" s="7"/>
      <c r="I612" s="7"/>
      <c r="J612" s="7"/>
      <c r="K612" s="7"/>
    </row>
    <row r="613" spans="7:11" ht="15" customHeight="1">
      <c r="G613" s="7"/>
      <c r="H613" s="7"/>
      <c r="I613" s="7"/>
      <c r="J613" s="7"/>
      <c r="K613" s="7"/>
    </row>
    <row r="614" spans="7:11" ht="15" customHeight="1">
      <c r="G614" s="7"/>
      <c r="H614" s="7"/>
      <c r="I614" s="7"/>
      <c r="J614" s="7"/>
      <c r="K614" s="7"/>
    </row>
    <row r="615" spans="7:11" ht="15" customHeight="1">
      <c r="G615" s="7"/>
      <c r="H615" s="7"/>
      <c r="I615" s="7"/>
      <c r="J615" s="7"/>
      <c r="K615" s="7"/>
    </row>
    <row r="616" spans="7:11" ht="15" customHeight="1">
      <c r="G616" s="7"/>
      <c r="H616" s="7"/>
      <c r="I616" s="7"/>
      <c r="J616" s="7"/>
      <c r="K616" s="7"/>
    </row>
    <row r="617" spans="7:11" ht="15" customHeight="1">
      <c r="G617" s="7"/>
      <c r="H617" s="7"/>
      <c r="I617" s="7"/>
      <c r="J617" s="7"/>
      <c r="K617" s="7"/>
    </row>
    <row r="618" spans="7:11" ht="15" customHeight="1">
      <c r="G618" s="7"/>
      <c r="H618" s="7"/>
      <c r="I618" s="7"/>
      <c r="J618" s="7"/>
      <c r="K618" s="7"/>
    </row>
    <row r="619" spans="7:11" ht="15" customHeight="1">
      <c r="G619" s="7"/>
      <c r="H619" s="7"/>
      <c r="I619" s="7"/>
      <c r="J619" s="7"/>
      <c r="K619" s="7"/>
    </row>
    <row r="620" spans="7:11" ht="15" customHeight="1">
      <c r="G620" s="7"/>
      <c r="H620" s="7"/>
      <c r="I620" s="7"/>
      <c r="J620" s="7"/>
      <c r="K620" s="7"/>
    </row>
    <row r="621" spans="7:11" ht="15" customHeight="1">
      <c r="G621" s="7"/>
      <c r="H621" s="7"/>
      <c r="I621" s="7"/>
      <c r="J621" s="7"/>
      <c r="K621" s="7"/>
    </row>
    <row r="622" spans="7:11" ht="15" customHeight="1">
      <c r="G622" s="7"/>
      <c r="H622" s="7"/>
      <c r="I622" s="7"/>
      <c r="J622" s="7"/>
      <c r="K622" s="7"/>
    </row>
    <row r="623" spans="7:11" ht="15" customHeight="1">
      <c r="G623" s="7"/>
      <c r="H623" s="7"/>
      <c r="I623" s="7"/>
      <c r="J623" s="7"/>
      <c r="K623" s="7"/>
    </row>
    <row r="624" spans="7:11" ht="15" customHeight="1">
      <c r="G624" s="7"/>
      <c r="H624" s="7"/>
      <c r="I624" s="7"/>
      <c r="J624" s="7"/>
      <c r="K624" s="7"/>
    </row>
    <row r="625" spans="7:11" ht="15" customHeight="1">
      <c r="G625" s="7"/>
      <c r="H625" s="7"/>
      <c r="I625" s="7"/>
      <c r="J625" s="7"/>
      <c r="K625" s="7"/>
    </row>
    <row r="626" spans="7:11" ht="15" customHeight="1">
      <c r="G626" s="7"/>
      <c r="H626" s="7"/>
      <c r="I626" s="7"/>
      <c r="J626" s="7"/>
      <c r="K626" s="7"/>
    </row>
    <row r="627" spans="7:11" ht="15" customHeight="1">
      <c r="G627" s="7"/>
      <c r="H627" s="7"/>
      <c r="I627" s="7"/>
      <c r="J627" s="7"/>
      <c r="K627" s="7"/>
    </row>
    <row r="628" spans="7:11" ht="15" customHeight="1">
      <c r="G628" s="7"/>
      <c r="H628" s="7"/>
      <c r="I628" s="7"/>
      <c r="J628" s="7"/>
      <c r="K628" s="7"/>
    </row>
    <row r="629" spans="7:11" ht="15" customHeight="1">
      <c r="G629" s="7"/>
      <c r="H629" s="7"/>
      <c r="I629" s="7"/>
      <c r="J629" s="7"/>
      <c r="K629" s="7"/>
    </row>
    <row r="630" spans="7:11" ht="15" customHeight="1">
      <c r="G630" s="7"/>
      <c r="H630" s="7"/>
      <c r="I630" s="7"/>
      <c r="J630" s="7"/>
      <c r="K630" s="7"/>
    </row>
    <row r="631" spans="7:11" ht="15" customHeight="1">
      <c r="G631" s="7"/>
      <c r="H631" s="7"/>
      <c r="I631" s="7"/>
      <c r="J631" s="7"/>
      <c r="K631" s="7"/>
    </row>
    <row r="632" spans="7:11" ht="15" customHeight="1">
      <c r="G632" s="7"/>
      <c r="H632" s="7"/>
      <c r="I632" s="7"/>
      <c r="J632" s="7"/>
      <c r="K632" s="7"/>
    </row>
    <row r="633" spans="7:11" ht="15" customHeight="1">
      <c r="G633" s="7"/>
      <c r="H633" s="7"/>
      <c r="I633" s="7"/>
      <c r="J633" s="7"/>
      <c r="K633" s="7"/>
    </row>
    <row r="634" spans="7:11" ht="15" customHeight="1">
      <c r="G634" s="7"/>
      <c r="H634" s="7"/>
      <c r="I634" s="7"/>
      <c r="J634" s="7"/>
      <c r="K634" s="7"/>
    </row>
    <row r="635" spans="7:11" ht="15" customHeight="1">
      <c r="G635" s="7"/>
      <c r="H635" s="7"/>
      <c r="I635" s="7"/>
      <c r="J635" s="7"/>
      <c r="K635" s="7"/>
    </row>
    <row r="636" spans="7:11" ht="15" customHeight="1">
      <c r="G636" s="7"/>
      <c r="H636" s="7"/>
      <c r="I636" s="7"/>
      <c r="J636" s="7"/>
      <c r="K636" s="7"/>
    </row>
    <row r="637" spans="7:11" ht="15" customHeight="1">
      <c r="G637" s="7"/>
      <c r="H637" s="7"/>
      <c r="I637" s="7"/>
      <c r="J637" s="7"/>
      <c r="K637" s="7"/>
    </row>
    <row r="638" spans="7:11" ht="15" customHeight="1">
      <c r="G638" s="7"/>
      <c r="H638" s="7"/>
      <c r="I638" s="7"/>
      <c r="J638" s="7"/>
      <c r="K638" s="7"/>
    </row>
    <row r="639" spans="7:11" ht="15" customHeight="1">
      <c r="G639" s="7"/>
      <c r="H639" s="7"/>
      <c r="I639" s="7"/>
      <c r="J639" s="7"/>
      <c r="K639" s="7"/>
    </row>
    <row r="640" spans="7:11" ht="15" customHeight="1">
      <c r="G640" s="7"/>
      <c r="H640" s="7"/>
      <c r="I640" s="7"/>
      <c r="J640" s="7"/>
      <c r="K640" s="7"/>
    </row>
    <row r="641" spans="7:11" ht="15" customHeight="1">
      <c r="G641" s="7"/>
      <c r="H641" s="7"/>
      <c r="I641" s="7"/>
      <c r="J641" s="7"/>
      <c r="K641" s="7"/>
    </row>
    <row r="642" spans="7:11" ht="15" customHeight="1">
      <c r="G642" s="7"/>
      <c r="H642" s="7"/>
      <c r="I642" s="7"/>
      <c r="J642" s="7"/>
      <c r="K642" s="7"/>
    </row>
    <row r="643" spans="7:11" ht="15" customHeight="1">
      <c r="G643" s="7"/>
      <c r="H643" s="7"/>
      <c r="I643" s="7"/>
      <c r="J643" s="7"/>
      <c r="K643" s="7"/>
    </row>
    <row r="644" spans="7:11" ht="15" customHeight="1">
      <c r="G644" s="7"/>
      <c r="H644" s="7"/>
      <c r="I644" s="7"/>
      <c r="J644" s="7"/>
      <c r="K644" s="7"/>
    </row>
    <row r="645" spans="7:11" ht="15" customHeight="1">
      <c r="G645" s="7"/>
      <c r="H645" s="7"/>
      <c r="I645" s="7"/>
      <c r="J645" s="7"/>
      <c r="K645" s="7"/>
    </row>
    <row r="646" spans="7:11" ht="15" customHeight="1">
      <c r="G646" s="7"/>
      <c r="H646" s="7"/>
      <c r="I646" s="7"/>
      <c r="J646" s="7"/>
      <c r="K646" s="7"/>
    </row>
    <row r="647" spans="7:11" ht="15" customHeight="1">
      <c r="G647" s="7"/>
      <c r="H647" s="7"/>
      <c r="I647" s="7"/>
      <c r="J647" s="7"/>
      <c r="K647" s="7"/>
    </row>
    <row r="648" spans="7:11" ht="15" customHeight="1">
      <c r="G648" s="7"/>
      <c r="H648" s="7"/>
      <c r="I648" s="7"/>
      <c r="J648" s="7"/>
      <c r="K648" s="7"/>
    </row>
    <row r="649" spans="7:11" ht="15" customHeight="1">
      <c r="G649" s="7"/>
      <c r="H649" s="7"/>
      <c r="I649" s="7"/>
      <c r="J649" s="7"/>
      <c r="K649" s="7"/>
    </row>
    <row r="650" spans="7:11" ht="15" customHeight="1">
      <c r="G650" s="7"/>
      <c r="H650" s="7"/>
      <c r="I650" s="7"/>
      <c r="J650" s="7"/>
      <c r="K650" s="7"/>
    </row>
    <row r="651" spans="7:11" ht="15" customHeight="1">
      <c r="G651" s="7"/>
      <c r="H651" s="7"/>
      <c r="I651" s="7"/>
      <c r="J651" s="7"/>
      <c r="K651" s="7"/>
    </row>
    <row r="652" spans="7:11" ht="15" customHeight="1">
      <c r="G652" s="7"/>
      <c r="H652" s="7"/>
      <c r="I652" s="7"/>
      <c r="J652" s="7"/>
      <c r="K652" s="7"/>
    </row>
    <row r="653" spans="7:11" ht="15" customHeight="1">
      <c r="G653" s="7"/>
      <c r="H653" s="7"/>
      <c r="I653" s="7"/>
      <c r="J653" s="7"/>
      <c r="K653" s="7"/>
    </row>
    <row r="654" spans="7:11" ht="15" customHeight="1">
      <c r="G654" s="7"/>
      <c r="H654" s="7"/>
      <c r="I654" s="7"/>
      <c r="J654" s="7"/>
      <c r="K654" s="7"/>
    </row>
    <row r="655" spans="7:11" ht="15" customHeight="1">
      <c r="G655" s="7"/>
      <c r="H655" s="7"/>
      <c r="I655" s="7"/>
      <c r="J655" s="7"/>
      <c r="K655" s="7"/>
    </row>
    <row r="656" spans="7:11" ht="15" customHeight="1">
      <c r="G656" s="7"/>
      <c r="H656" s="7"/>
      <c r="I656" s="7"/>
      <c r="J656" s="7"/>
      <c r="K656" s="7"/>
    </row>
    <row r="657" spans="7:11" ht="15" customHeight="1">
      <c r="G657" s="7"/>
      <c r="H657" s="7"/>
      <c r="I657" s="7"/>
      <c r="J657" s="7"/>
      <c r="K657" s="7"/>
    </row>
    <row r="658" spans="7:11" ht="15" customHeight="1">
      <c r="G658" s="7"/>
      <c r="H658" s="7"/>
      <c r="I658" s="7"/>
      <c r="J658" s="7"/>
      <c r="K658" s="7"/>
    </row>
    <row r="659" spans="7:11" ht="15" customHeight="1">
      <c r="G659" s="7"/>
      <c r="H659" s="7"/>
      <c r="I659" s="7"/>
      <c r="J659" s="7"/>
      <c r="K659" s="7"/>
    </row>
    <row r="660" spans="7:11" ht="15" customHeight="1">
      <c r="G660" s="7"/>
      <c r="H660" s="7"/>
      <c r="I660" s="7"/>
      <c r="J660" s="7"/>
      <c r="K660" s="7"/>
    </row>
    <row r="661" spans="7:11" ht="15" customHeight="1">
      <c r="G661" s="7"/>
      <c r="H661" s="7"/>
      <c r="I661" s="7"/>
      <c r="J661" s="7"/>
      <c r="K661" s="7"/>
    </row>
    <row r="662" spans="7:11" ht="15" customHeight="1">
      <c r="G662" s="7"/>
      <c r="H662" s="7"/>
      <c r="I662" s="7"/>
      <c r="J662" s="7"/>
      <c r="K662" s="7"/>
    </row>
    <row r="663" spans="7:11" ht="15" customHeight="1">
      <c r="G663" s="7"/>
      <c r="H663" s="7"/>
      <c r="I663" s="7"/>
      <c r="J663" s="7"/>
      <c r="K663" s="7"/>
    </row>
    <row r="664" spans="7:11" ht="15" customHeight="1">
      <c r="G664" s="7"/>
      <c r="H664" s="7"/>
      <c r="I664" s="7"/>
      <c r="J664" s="7"/>
      <c r="K664" s="7"/>
    </row>
    <row r="665" spans="7:11" ht="15" customHeight="1">
      <c r="G665" s="7"/>
      <c r="H665" s="7"/>
      <c r="I665" s="7"/>
      <c r="J665" s="7"/>
      <c r="K665" s="7"/>
    </row>
    <row r="666" spans="7:11" ht="15" customHeight="1">
      <c r="G666" s="7"/>
      <c r="H666" s="7"/>
      <c r="I666" s="7"/>
      <c r="J666" s="7"/>
      <c r="K666" s="7"/>
    </row>
    <row r="667" spans="7:11" ht="15" customHeight="1">
      <c r="G667" s="7"/>
      <c r="H667" s="7"/>
      <c r="I667" s="7"/>
      <c r="J667" s="7"/>
      <c r="K667" s="7"/>
    </row>
    <row r="668" spans="7:11" ht="15" customHeight="1">
      <c r="G668" s="7"/>
      <c r="H668" s="7"/>
      <c r="I668" s="7"/>
      <c r="J668" s="7"/>
      <c r="K668" s="7"/>
    </row>
    <row r="669" spans="7:11" ht="15" customHeight="1">
      <c r="G669" s="7"/>
      <c r="H669" s="7"/>
      <c r="I669" s="7"/>
      <c r="J669" s="7"/>
      <c r="K669" s="7"/>
    </row>
    <row r="670" spans="7:11" ht="15" customHeight="1">
      <c r="G670" s="7"/>
      <c r="H670" s="7"/>
      <c r="I670" s="7"/>
      <c r="J670" s="7"/>
      <c r="K670" s="7"/>
    </row>
    <row r="671" spans="7:11" ht="15" customHeight="1">
      <c r="G671" s="7"/>
      <c r="H671" s="7"/>
      <c r="I671" s="7"/>
      <c r="J671" s="7"/>
      <c r="K671" s="7"/>
    </row>
    <row r="672" spans="7:11" ht="15" customHeight="1">
      <c r="G672" s="7"/>
      <c r="H672" s="7"/>
      <c r="I672" s="7"/>
      <c r="J672" s="7"/>
      <c r="K672" s="7"/>
    </row>
    <row r="673" spans="7:11" ht="15" customHeight="1">
      <c r="G673" s="7"/>
      <c r="H673" s="7"/>
      <c r="I673" s="7"/>
      <c r="J673" s="7"/>
      <c r="K673" s="7"/>
    </row>
    <row r="674" spans="7:11" ht="15" customHeight="1">
      <c r="G674" s="7"/>
      <c r="H674" s="7"/>
      <c r="I674" s="7"/>
      <c r="J674" s="7"/>
      <c r="K674" s="7"/>
    </row>
    <row r="675" spans="7:11" ht="15" customHeight="1">
      <c r="G675" s="7"/>
      <c r="H675" s="7"/>
      <c r="I675" s="7"/>
      <c r="J675" s="7"/>
      <c r="K675" s="7"/>
    </row>
    <row r="676" spans="7:11" ht="15" customHeight="1">
      <c r="G676" s="7"/>
      <c r="H676" s="7"/>
      <c r="I676" s="7"/>
      <c r="J676" s="7"/>
      <c r="K676" s="7"/>
    </row>
    <row r="677" spans="7:11" ht="15" customHeight="1">
      <c r="G677" s="7"/>
      <c r="H677" s="7"/>
      <c r="I677" s="7"/>
      <c r="J677" s="7"/>
      <c r="K677" s="7"/>
    </row>
    <row r="678" spans="7:11" ht="15" customHeight="1">
      <c r="G678" s="7"/>
      <c r="H678" s="7"/>
      <c r="I678" s="7"/>
      <c r="J678" s="7"/>
      <c r="K678" s="7"/>
    </row>
    <row r="679" spans="7:11" ht="15" customHeight="1">
      <c r="G679" s="7"/>
      <c r="H679" s="7"/>
      <c r="I679" s="7"/>
      <c r="J679" s="7"/>
      <c r="K679" s="7"/>
    </row>
    <row r="680" spans="7:11" ht="15" customHeight="1">
      <c r="G680" s="7"/>
      <c r="H680" s="7"/>
      <c r="I680" s="7"/>
      <c r="J680" s="7"/>
      <c r="K680" s="7"/>
    </row>
    <row r="681" spans="7:11" ht="15" customHeight="1">
      <c r="G681" s="7"/>
      <c r="H681" s="7"/>
      <c r="I681" s="7"/>
      <c r="J681" s="7"/>
      <c r="K681" s="7"/>
    </row>
    <row r="682" spans="7:11" ht="15" customHeight="1">
      <c r="G682" s="7"/>
      <c r="H682" s="7"/>
      <c r="I682" s="7"/>
      <c r="J682" s="7"/>
      <c r="K682" s="7"/>
    </row>
    <row r="683" spans="7:11" ht="15" customHeight="1">
      <c r="G683" s="7"/>
      <c r="H683" s="7"/>
      <c r="I683" s="7"/>
      <c r="J683" s="7"/>
      <c r="K683" s="7"/>
    </row>
    <row r="684" spans="7:11" ht="15" customHeight="1">
      <c r="G684" s="7"/>
      <c r="H684" s="7"/>
      <c r="I684" s="7"/>
      <c r="J684" s="7"/>
      <c r="K684" s="7"/>
    </row>
    <row r="685" spans="7:11" ht="15" customHeight="1">
      <c r="G685" s="7"/>
      <c r="H685" s="7"/>
      <c r="I685" s="7"/>
      <c r="J685" s="7"/>
      <c r="K685" s="7"/>
    </row>
    <row r="686" spans="7:11" ht="15" customHeight="1">
      <c r="G686" s="7"/>
      <c r="H686" s="7"/>
      <c r="I686" s="7"/>
      <c r="J686" s="7"/>
      <c r="K686" s="7"/>
    </row>
  </sheetData>
  <sheetProtection algorithmName="SHA-512" hashValue="g7yZT+Ujb3TfafAvYdT0LVifV8qy43HFjk7oeQLxY6ey/UdiglRus/rer0rUmCUTeXO+byQZHNK/XjiXvLqaHg==" saltValue="MQmEEs4xBgKi1+VAim80CA==" spinCount="100000" sheet="1" objects="1" scenarios="1"/>
  <mergeCells count="5">
    <mergeCell ref="G5:H5"/>
    <mergeCell ref="B2:H2"/>
    <mergeCell ref="J2:M2"/>
    <mergeCell ref="C5:D5"/>
    <mergeCell ref="E5:F5"/>
  </mergeCells>
  <phoneticPr fontId="1" type="noConversion"/>
  <pageMargins left="0.5" right="0.5" top="0.75" bottom="0.75" header="0.5" footer="0.5"/>
  <pageSetup scale="10" orientation="portrait" r:id="rId1"/>
  <headerFooter alignWithMargins="0"/>
  <ignoredErrors>
    <ignoredError sqref="F8:F16 H7:H16 L9:L1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13" r:id="rId4" name="Button 417">
              <controlPr defaultSize="0" print="0" autoFill="0" autoPict="0" macro="[0]!Print1">
                <anchor moveWithCells="1" sizeWithCells="1">
                  <from>
                    <xdr:col>8</xdr:col>
                    <xdr:colOff>781050</xdr:colOff>
                    <xdr:row>18</xdr:row>
                    <xdr:rowOff>57150</xdr:rowOff>
                  </from>
                  <to>
                    <xdr:col>10</xdr:col>
                    <xdr:colOff>590550</xdr:colOff>
                    <xdr:row>19</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S81"/>
  <sheetViews>
    <sheetView showOutlineSymbols="0" zoomScaleNormal="87" workbookViewId="0">
      <selection activeCell="Q5" sqref="Q5"/>
    </sheetView>
  </sheetViews>
  <sheetFormatPr defaultColWidth="9.6640625" defaultRowHeight="15"/>
  <cols>
    <col min="1" max="1" width="3.77734375" style="27" customWidth="1"/>
    <col min="2" max="2" width="6.77734375" style="27" customWidth="1"/>
    <col min="3" max="3" width="7.77734375" style="27" customWidth="1"/>
    <col min="4" max="8" width="8.77734375" style="27" customWidth="1"/>
    <col min="9" max="10" width="8.33203125" style="27" customWidth="1"/>
    <col min="11" max="11" width="8.77734375" style="27" customWidth="1"/>
    <col min="12" max="12" width="8.33203125" style="27" customWidth="1"/>
    <col min="13" max="14" width="8.77734375" style="27" customWidth="1"/>
    <col min="15" max="15" width="8.33203125" style="27" customWidth="1"/>
    <col min="16" max="16" width="6.77734375" style="27" customWidth="1"/>
    <col min="17" max="17" width="9.6640625" style="27"/>
    <col min="18" max="22" width="8.33203125" style="27" customWidth="1"/>
    <col min="23" max="23" width="4.77734375" style="27" customWidth="1"/>
    <col min="24" max="28" width="8.33203125" style="27" customWidth="1"/>
    <col min="29" max="29" width="4.77734375" style="27" customWidth="1"/>
    <col min="30" max="34" width="8.33203125" style="27" customWidth="1"/>
    <col min="35" max="16384" width="9.6640625" style="27"/>
  </cols>
  <sheetData>
    <row r="1" spans="1:45">
      <c r="A1" s="31"/>
      <c r="B1" s="31"/>
      <c r="C1" s="31"/>
      <c r="D1" s="31"/>
      <c r="E1" s="31"/>
      <c r="F1" s="31"/>
      <c r="G1" s="31"/>
      <c r="H1" s="31"/>
      <c r="I1" s="31"/>
      <c r="J1" s="31"/>
      <c r="K1" s="31"/>
      <c r="L1" s="31"/>
      <c r="M1" s="31"/>
      <c r="N1" s="31"/>
      <c r="O1" s="31"/>
      <c r="P1" s="31"/>
      <c r="Q1" s="31"/>
      <c r="R1" s="31"/>
      <c r="S1" s="31"/>
      <c r="T1" s="31"/>
      <c r="U1" s="31"/>
      <c r="V1" s="31"/>
      <c r="W1" s="70"/>
      <c r="X1" s="71"/>
      <c r="Y1" s="71"/>
      <c r="Z1" s="71"/>
      <c r="AA1" s="71"/>
      <c r="AB1" s="71"/>
      <c r="AC1" s="71"/>
      <c r="AD1" s="71"/>
      <c r="AE1" s="71"/>
      <c r="AF1" s="71"/>
      <c r="AG1" s="71"/>
      <c r="AH1" s="71"/>
      <c r="AI1" s="71"/>
      <c r="AJ1" s="71"/>
      <c r="AK1" s="71"/>
      <c r="AL1" s="71"/>
      <c r="AM1" s="71"/>
      <c r="AN1" s="71"/>
      <c r="AO1" s="71"/>
      <c r="AP1" s="71"/>
      <c r="AQ1" s="71"/>
      <c r="AR1" s="71"/>
      <c r="AS1" s="71"/>
    </row>
    <row r="2" spans="1:45" ht="16.5" thickBot="1">
      <c r="A2" s="31"/>
      <c r="B2" s="131" t="s">
        <v>28</v>
      </c>
      <c r="C2" s="33"/>
      <c r="D2" s="33"/>
      <c r="E2" s="33"/>
      <c r="F2" s="34"/>
      <c r="G2" s="35"/>
      <c r="H2" s="33"/>
      <c r="I2" s="33"/>
      <c r="J2" s="33"/>
      <c r="K2" s="33"/>
      <c r="L2" s="33"/>
      <c r="M2" s="33"/>
      <c r="N2" s="33"/>
      <c r="O2" s="33"/>
      <c r="P2" s="31"/>
      <c r="Q2" s="31"/>
      <c r="R2" s="31"/>
      <c r="S2" s="31"/>
      <c r="T2" s="31"/>
      <c r="U2" s="31"/>
      <c r="V2" s="31"/>
      <c r="W2" s="70"/>
      <c r="X2" s="71"/>
      <c r="Y2" s="71"/>
      <c r="Z2" s="71"/>
      <c r="AA2" s="71"/>
      <c r="AB2" s="71"/>
      <c r="AC2" s="71"/>
      <c r="AD2" s="71"/>
      <c r="AE2" s="71"/>
      <c r="AF2" s="71"/>
      <c r="AG2" s="71"/>
      <c r="AH2" s="71"/>
      <c r="AI2" s="71"/>
      <c r="AJ2" s="71"/>
      <c r="AK2" s="71"/>
      <c r="AL2" s="71"/>
      <c r="AM2" s="71"/>
      <c r="AN2" s="71"/>
      <c r="AO2" s="71"/>
      <c r="AP2" s="71"/>
      <c r="AQ2" s="71"/>
      <c r="AR2" s="71"/>
      <c r="AS2" s="71"/>
    </row>
    <row r="3" spans="1:45" s="28" customFormat="1" ht="21.95" customHeight="1">
      <c r="A3" s="36"/>
      <c r="B3" s="37" t="s">
        <v>9</v>
      </c>
      <c r="C3" s="37"/>
      <c r="D3" s="37"/>
      <c r="E3" s="37"/>
      <c r="F3" s="37"/>
      <c r="G3" s="89">
        <v>100</v>
      </c>
      <c r="H3" s="37"/>
      <c r="I3" s="37" t="s">
        <v>26</v>
      </c>
      <c r="J3" s="37"/>
      <c r="K3" s="37"/>
      <c r="L3" s="37"/>
      <c r="M3" s="37"/>
      <c r="N3" s="94">
        <v>0.97</v>
      </c>
      <c r="O3" s="37"/>
      <c r="P3" s="36"/>
      <c r="Q3" s="36"/>
      <c r="R3" s="36"/>
      <c r="S3" s="36"/>
      <c r="T3" s="36"/>
      <c r="U3" s="36"/>
      <c r="V3" s="36"/>
      <c r="W3" s="105"/>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s="28" customFormat="1" ht="21.95" customHeight="1">
      <c r="A4" s="36"/>
      <c r="B4" s="37" t="s">
        <v>13</v>
      </c>
      <c r="C4" s="37"/>
      <c r="D4" s="37"/>
      <c r="E4" s="37"/>
      <c r="F4" s="37"/>
      <c r="G4" s="89">
        <v>2016</v>
      </c>
      <c r="H4" s="37"/>
      <c r="I4" s="37" t="s">
        <v>6</v>
      </c>
      <c r="J4" s="37"/>
      <c r="K4" s="37"/>
      <c r="L4" s="37"/>
      <c r="M4" s="37"/>
      <c r="N4" s="94">
        <v>5.0000000000000001E-3</v>
      </c>
      <c r="O4" s="37"/>
      <c r="P4" s="36"/>
      <c r="Q4" s="36"/>
      <c r="R4" s="36"/>
      <c r="S4" s="36"/>
      <c r="T4" s="36"/>
      <c r="U4" s="36"/>
      <c r="V4" s="36"/>
      <c r="W4" s="105"/>
      <c r="X4" s="106"/>
      <c r="Y4" s="106"/>
      <c r="Z4" s="106"/>
      <c r="AA4" s="106"/>
      <c r="AB4" s="106"/>
      <c r="AC4" s="106"/>
      <c r="AD4" s="106"/>
      <c r="AE4" s="106"/>
      <c r="AF4" s="106"/>
      <c r="AG4" s="106"/>
      <c r="AH4" s="106"/>
      <c r="AI4" s="106"/>
      <c r="AJ4" s="106"/>
      <c r="AK4" s="106"/>
      <c r="AL4" s="106"/>
      <c r="AM4" s="106"/>
      <c r="AN4" s="106"/>
      <c r="AO4" s="106"/>
      <c r="AP4" s="106"/>
      <c r="AQ4" s="106"/>
      <c r="AR4" s="106"/>
      <c r="AS4" s="106"/>
    </row>
    <row r="5" spans="1:45" s="28" customFormat="1" ht="21.95" customHeight="1">
      <c r="A5" s="36"/>
      <c r="B5" s="37" t="s">
        <v>15</v>
      </c>
      <c r="C5" s="37"/>
      <c r="D5" s="37"/>
      <c r="E5" s="37"/>
      <c r="F5" s="37"/>
      <c r="G5" s="89">
        <v>2016</v>
      </c>
      <c r="H5" s="37"/>
      <c r="I5" s="37" t="s">
        <v>48</v>
      </c>
      <c r="J5" s="37"/>
      <c r="K5" s="37"/>
      <c r="L5" s="37"/>
      <c r="M5" s="37"/>
      <c r="N5" s="94">
        <v>0.15</v>
      </c>
      <c r="O5" s="38"/>
      <c r="P5" s="36"/>
      <c r="Q5" s="36"/>
      <c r="R5" s="36"/>
      <c r="S5" s="36"/>
      <c r="T5" s="36"/>
      <c r="U5" s="36"/>
      <c r="V5" s="36"/>
      <c r="W5" s="105"/>
      <c r="X5" s="106"/>
      <c r="Y5" s="106"/>
      <c r="Z5" s="106"/>
      <c r="AA5" s="106"/>
      <c r="AB5" s="106"/>
      <c r="AC5" s="106"/>
      <c r="AD5" s="106"/>
      <c r="AE5" s="106"/>
      <c r="AF5" s="106"/>
      <c r="AG5" s="106"/>
      <c r="AH5" s="106"/>
      <c r="AI5" s="106"/>
      <c r="AJ5" s="106"/>
      <c r="AK5" s="106"/>
      <c r="AL5" s="106"/>
      <c r="AM5" s="106"/>
      <c r="AN5" s="106"/>
      <c r="AO5" s="106"/>
      <c r="AP5" s="106"/>
      <c r="AQ5" s="106"/>
      <c r="AR5" s="106"/>
      <c r="AS5" s="106"/>
    </row>
    <row r="6" spans="1:45" s="28" customFormat="1" ht="21.95" customHeight="1">
      <c r="A6" s="36"/>
      <c r="B6" s="37" t="s">
        <v>1</v>
      </c>
      <c r="C6" s="37"/>
      <c r="D6" s="37"/>
      <c r="E6" s="37"/>
      <c r="F6" s="37"/>
      <c r="G6" s="90">
        <v>1250</v>
      </c>
      <c r="H6" s="37"/>
      <c r="I6" s="37"/>
      <c r="J6" s="37"/>
      <c r="K6" s="37"/>
      <c r="L6" s="37"/>
      <c r="M6" s="37"/>
      <c r="N6" s="95"/>
      <c r="O6" s="37"/>
      <c r="P6" s="36"/>
      <c r="Q6" s="36"/>
      <c r="R6" s="36"/>
      <c r="S6" s="36"/>
      <c r="T6" s="36"/>
      <c r="U6" s="36"/>
      <c r="V6" s="36"/>
      <c r="W6" s="105"/>
      <c r="X6" s="106"/>
      <c r="Y6" s="106"/>
      <c r="Z6" s="106"/>
      <c r="AA6" s="106"/>
      <c r="AB6" s="106"/>
      <c r="AC6" s="106"/>
      <c r="AD6" s="106"/>
      <c r="AE6" s="106"/>
      <c r="AF6" s="106"/>
      <c r="AG6" s="106"/>
      <c r="AH6" s="106"/>
      <c r="AI6" s="106"/>
      <c r="AJ6" s="106"/>
      <c r="AK6" s="106"/>
      <c r="AL6" s="106"/>
      <c r="AM6" s="106"/>
      <c r="AN6" s="106"/>
      <c r="AO6" s="106"/>
      <c r="AP6" s="106"/>
      <c r="AQ6" s="106"/>
      <c r="AR6" s="106"/>
      <c r="AS6" s="106"/>
    </row>
    <row r="7" spans="1:45" s="29" customFormat="1" ht="21.95" customHeight="1">
      <c r="A7" s="39"/>
      <c r="B7" s="40" t="s">
        <v>2</v>
      </c>
      <c r="C7" s="40"/>
      <c r="D7" s="40"/>
      <c r="E7" s="40"/>
      <c r="F7" s="40"/>
      <c r="G7" s="91">
        <v>700</v>
      </c>
      <c r="H7" s="40"/>
      <c r="I7" s="40" t="s">
        <v>10</v>
      </c>
      <c r="J7" s="40"/>
      <c r="K7" s="40"/>
      <c r="L7" s="40"/>
      <c r="M7" s="40"/>
      <c r="N7" s="96">
        <v>0.01</v>
      </c>
      <c r="O7" s="40"/>
      <c r="P7" s="39"/>
      <c r="Q7" s="39"/>
      <c r="R7" s="39"/>
      <c r="S7" s="39"/>
      <c r="T7" s="39"/>
      <c r="U7" s="39"/>
      <c r="V7" s="39"/>
      <c r="W7" s="107"/>
      <c r="X7" s="108"/>
      <c r="Y7" s="108"/>
      <c r="Z7" s="108"/>
      <c r="AA7" s="108"/>
      <c r="AB7" s="108"/>
      <c r="AC7" s="108"/>
      <c r="AD7" s="108"/>
      <c r="AE7" s="108"/>
      <c r="AF7" s="108"/>
      <c r="AG7" s="108"/>
      <c r="AH7" s="108"/>
      <c r="AI7" s="108"/>
      <c r="AJ7" s="106"/>
      <c r="AK7" s="106"/>
      <c r="AL7" s="106"/>
      <c r="AM7" s="106"/>
      <c r="AN7" s="106"/>
      <c r="AO7" s="106"/>
      <c r="AP7" s="108"/>
      <c r="AQ7" s="108"/>
      <c r="AR7" s="108"/>
      <c r="AS7" s="108"/>
    </row>
    <row r="8" spans="1:45" s="29" customFormat="1" ht="21.95" customHeight="1">
      <c r="A8" s="39"/>
      <c r="B8" s="40" t="str">
        <f>"Price scenario to use (1-3) ("&amp;IF(G8=1,'Prices and weights'!C5,IF(G8=2,'Prices and weights'!E5,'Prices and weights'!G5))&amp;")"</f>
        <v>Price scenario to use (1-3) (USDA (As of Nov. '15))</v>
      </c>
      <c r="C8" s="40"/>
      <c r="D8" s="40"/>
      <c r="E8" s="40"/>
      <c r="F8" s="40"/>
      <c r="G8" s="92">
        <v>1</v>
      </c>
      <c r="H8" s="40"/>
      <c r="I8" s="40" t="s">
        <v>34</v>
      </c>
      <c r="J8" s="40"/>
      <c r="K8" s="40"/>
      <c r="L8" s="40"/>
      <c r="M8" s="40"/>
      <c r="N8" s="96">
        <v>0</v>
      </c>
      <c r="O8" s="40"/>
      <c r="P8" s="39"/>
      <c r="Q8" s="39"/>
      <c r="R8" s="39"/>
      <c r="S8" s="39"/>
      <c r="T8" s="39"/>
      <c r="U8" s="39"/>
      <c r="V8" s="39"/>
      <c r="W8" s="107"/>
      <c r="X8" s="108"/>
      <c r="Y8" s="108"/>
      <c r="Z8" s="108"/>
      <c r="AA8" s="108"/>
      <c r="AB8" s="108"/>
      <c r="AC8" s="108"/>
      <c r="AD8" s="108"/>
      <c r="AE8" s="108"/>
      <c r="AF8" s="108"/>
      <c r="AG8" s="108"/>
      <c r="AH8" s="108"/>
      <c r="AI8" s="108"/>
      <c r="AJ8" s="191" t="s">
        <v>78</v>
      </c>
      <c r="AK8" s="108"/>
      <c r="AL8" s="108"/>
      <c r="AM8" s="191" t="s">
        <v>79</v>
      </c>
      <c r="AN8" s="108"/>
      <c r="AO8" s="108"/>
      <c r="AP8" s="108"/>
      <c r="AQ8" s="108"/>
      <c r="AR8" s="108"/>
      <c r="AS8" s="108"/>
    </row>
    <row r="9" spans="1:45" s="29" customFormat="1" ht="21.95" customHeight="1" thickBot="1">
      <c r="A9" s="39"/>
      <c r="B9" s="41" t="s">
        <v>33</v>
      </c>
      <c r="C9" s="41"/>
      <c r="D9" s="41"/>
      <c r="E9" s="41"/>
      <c r="F9" s="41"/>
      <c r="G9" s="93">
        <v>1</v>
      </c>
      <c r="H9" s="41"/>
      <c r="I9" s="41" t="s">
        <v>35</v>
      </c>
      <c r="J9" s="41"/>
      <c r="K9" s="41"/>
      <c r="L9" s="41"/>
      <c r="M9" s="41"/>
      <c r="N9" s="97">
        <v>7.4999999999999997E-2</v>
      </c>
      <c r="O9" s="41"/>
      <c r="P9" s="39"/>
      <c r="Q9" s="39"/>
      <c r="R9" s="40" t="s">
        <v>58</v>
      </c>
      <c r="S9" s="39"/>
      <c r="T9" s="39"/>
      <c r="U9" s="39"/>
      <c r="V9" s="39"/>
      <c r="W9" s="107"/>
      <c r="X9" s="108"/>
      <c r="Y9" s="108"/>
      <c r="Z9" s="108"/>
      <c r="AA9" s="108"/>
      <c r="AB9" s="108"/>
      <c r="AC9" s="108"/>
      <c r="AD9" s="108"/>
      <c r="AE9" s="108"/>
      <c r="AF9" s="108"/>
      <c r="AG9" s="108"/>
      <c r="AH9" s="108"/>
      <c r="AI9" s="108"/>
      <c r="AJ9" s="184">
        <v>0.9</v>
      </c>
      <c r="AK9" s="108" t="s">
        <v>77</v>
      </c>
      <c r="AL9" s="108"/>
      <c r="AM9" s="184">
        <v>1.1000000000000001</v>
      </c>
      <c r="AN9" s="108" t="s">
        <v>77</v>
      </c>
      <c r="AO9" s="110"/>
      <c r="AP9" s="108"/>
      <c r="AQ9" s="108"/>
      <c r="AR9" s="108"/>
      <c r="AS9" s="108"/>
    </row>
    <row r="10" spans="1:45" s="30" customFormat="1" ht="18" customHeight="1" thickBot="1">
      <c r="A10" s="42"/>
      <c r="B10" s="43"/>
      <c r="C10" s="43"/>
      <c r="D10" s="43"/>
      <c r="E10" s="43"/>
      <c r="F10" s="43"/>
      <c r="G10" s="43"/>
      <c r="H10" s="43"/>
      <c r="I10" s="43"/>
      <c r="J10" s="43"/>
      <c r="K10" s="43"/>
      <c r="L10" s="43"/>
      <c r="M10" s="43"/>
      <c r="N10" s="43"/>
      <c r="O10" s="43"/>
      <c r="P10" s="42"/>
      <c r="Q10" s="42"/>
      <c r="R10" s="42"/>
      <c r="S10" s="42"/>
      <c r="T10" s="42"/>
      <c r="U10" s="42"/>
      <c r="V10" s="42"/>
      <c r="W10" s="109"/>
      <c r="X10" s="109"/>
      <c r="Y10" s="109"/>
      <c r="Z10" s="109"/>
      <c r="AA10" s="109"/>
      <c r="AB10" s="109"/>
      <c r="AC10" s="110"/>
      <c r="AD10" s="109"/>
      <c r="AE10" s="109"/>
      <c r="AF10" s="109"/>
      <c r="AG10" s="109"/>
      <c r="AH10" s="109"/>
      <c r="AI10" s="110"/>
      <c r="AJ10" s="185"/>
      <c r="AK10" s="110"/>
      <c r="AL10" s="108"/>
      <c r="AM10" s="110"/>
      <c r="AN10" s="110"/>
      <c r="AO10" s="110"/>
      <c r="AP10" s="110"/>
      <c r="AQ10" s="110"/>
      <c r="AR10" s="110"/>
      <c r="AS10" s="110"/>
    </row>
    <row r="11" spans="1:45" ht="16.5" thickBot="1">
      <c r="A11" s="31"/>
      <c r="B11" s="131" t="s">
        <v>27</v>
      </c>
      <c r="C11" s="33"/>
      <c r="D11" s="33"/>
      <c r="E11" s="33"/>
      <c r="F11" s="33"/>
      <c r="G11" s="33"/>
      <c r="H11" s="33"/>
      <c r="I11" s="33"/>
      <c r="J11" s="33"/>
      <c r="K11" s="33"/>
      <c r="L11" s="33"/>
      <c r="M11" s="33"/>
      <c r="N11" s="33"/>
      <c r="O11" s="33"/>
      <c r="P11" s="31"/>
      <c r="Q11" s="31"/>
      <c r="R11" s="57" t="s">
        <v>2</v>
      </c>
      <c r="S11" s="44"/>
      <c r="T11" s="44"/>
      <c r="U11" s="44"/>
      <c r="V11" s="44"/>
      <c r="W11" s="70"/>
      <c r="X11" s="114" t="s">
        <v>53</v>
      </c>
      <c r="Y11" s="111"/>
      <c r="Z11" s="111"/>
      <c r="AA11" s="111"/>
      <c r="AB11" s="111"/>
      <c r="AC11" s="71"/>
      <c r="AD11" s="114" t="s">
        <v>53</v>
      </c>
      <c r="AE11" s="111"/>
      <c r="AF11" s="111"/>
      <c r="AG11" s="111"/>
      <c r="AH11" s="111"/>
      <c r="AI11" s="71"/>
      <c r="AJ11" s="192">
        <f>N9*AJ9</f>
        <v>6.7500000000000004E-2</v>
      </c>
      <c r="AK11" s="193"/>
      <c r="AL11" s="108"/>
      <c r="AM11" s="193"/>
      <c r="AN11" s="193"/>
      <c r="AO11" s="193"/>
      <c r="AP11" s="193"/>
      <c r="AQ11" s="193"/>
      <c r="AR11" s="193"/>
      <c r="AS11" s="193"/>
    </row>
    <row r="12" spans="1:45" ht="18" customHeight="1">
      <c r="A12" s="31"/>
      <c r="B12" s="45"/>
      <c r="C12" s="46" t="s">
        <v>8</v>
      </c>
      <c r="D12" s="46"/>
      <c r="E12" s="46"/>
      <c r="F12" s="47" t="s">
        <v>19</v>
      </c>
      <c r="G12" s="47"/>
      <c r="H12" s="46" t="s">
        <v>3</v>
      </c>
      <c r="I12" s="277" t="s">
        <v>14</v>
      </c>
      <c r="J12" s="277"/>
      <c r="K12" s="45"/>
      <c r="L12" s="46" t="s">
        <v>7</v>
      </c>
      <c r="M12" s="46" t="s">
        <v>20</v>
      </c>
      <c r="N12" s="46" t="s">
        <v>11</v>
      </c>
      <c r="O12" s="48"/>
      <c r="P12" s="31"/>
      <c r="Q12" s="31"/>
      <c r="R12" s="49">
        <f>D33</f>
        <v>560</v>
      </c>
      <c r="S12" s="49">
        <f>E33</f>
        <v>630</v>
      </c>
      <c r="T12" s="49">
        <f>F33</f>
        <v>700</v>
      </c>
      <c r="U12" s="49">
        <f>G33</f>
        <v>770</v>
      </c>
      <c r="V12" s="49">
        <f>H33</f>
        <v>840</v>
      </c>
      <c r="W12" s="70"/>
      <c r="X12" s="112">
        <f>Y12-H72</f>
        <v>0.1</v>
      </c>
      <c r="Y12" s="112">
        <f>Z12-H72</f>
        <v>0.125</v>
      </c>
      <c r="Z12" s="112">
        <f>N5</f>
        <v>0.15</v>
      </c>
      <c r="AA12" s="112">
        <f>Z12+H72</f>
        <v>0.17499999999999999</v>
      </c>
      <c r="AB12" s="112">
        <f>AA12+H72</f>
        <v>0.19999999999999998</v>
      </c>
      <c r="AC12" s="71"/>
      <c r="AD12" s="112">
        <f>X12</f>
        <v>0.1</v>
      </c>
      <c r="AE12" s="112">
        <f>Y12</f>
        <v>0.125</v>
      </c>
      <c r="AF12" s="112">
        <f>Z12</f>
        <v>0.15</v>
      </c>
      <c r="AG12" s="112">
        <f>AA12</f>
        <v>0.17499999999999999</v>
      </c>
      <c r="AH12" s="112">
        <f>AB12</f>
        <v>0.19999999999999998</v>
      </c>
      <c r="AI12" s="71"/>
      <c r="AJ12" s="186" t="s">
        <v>11</v>
      </c>
      <c r="AK12" s="71"/>
      <c r="AL12" s="108"/>
      <c r="AM12" s="187" t="s">
        <v>19</v>
      </c>
      <c r="AN12" s="187"/>
      <c r="AO12" s="186" t="s">
        <v>3</v>
      </c>
      <c r="AP12" s="278" t="s">
        <v>14</v>
      </c>
      <c r="AQ12" s="278"/>
      <c r="AR12" s="186" t="s">
        <v>20</v>
      </c>
      <c r="AS12" s="188"/>
    </row>
    <row r="13" spans="1:45" ht="18" customHeight="1">
      <c r="A13" s="31"/>
      <c r="B13" s="50" t="s">
        <v>5</v>
      </c>
      <c r="C13" s="50" t="s">
        <v>22</v>
      </c>
      <c r="D13" s="50" t="s">
        <v>3</v>
      </c>
      <c r="E13" s="50" t="s">
        <v>17</v>
      </c>
      <c r="F13" s="50" t="s">
        <v>3</v>
      </c>
      <c r="G13" s="50" t="s">
        <v>4</v>
      </c>
      <c r="H13" s="50" t="s">
        <v>21</v>
      </c>
      <c r="I13" s="50" t="s">
        <v>49</v>
      </c>
      <c r="J13" s="50" t="s">
        <v>47</v>
      </c>
      <c r="K13" s="50" t="s">
        <v>7</v>
      </c>
      <c r="L13" s="50" t="s">
        <v>16</v>
      </c>
      <c r="M13" s="50" t="s">
        <v>21</v>
      </c>
      <c r="N13" s="50" t="s">
        <v>12</v>
      </c>
      <c r="O13" s="51" t="s">
        <v>29</v>
      </c>
      <c r="P13" s="31"/>
      <c r="Q13" s="31"/>
      <c r="R13" s="50" t="s">
        <v>7</v>
      </c>
      <c r="S13" s="50" t="s">
        <v>7</v>
      </c>
      <c r="T13" s="50" t="s">
        <v>7</v>
      </c>
      <c r="U13" s="50" t="s">
        <v>7</v>
      </c>
      <c r="V13" s="50" t="s">
        <v>7</v>
      </c>
      <c r="W13" s="70"/>
      <c r="X13" s="113" t="s">
        <v>52</v>
      </c>
      <c r="Y13" s="113"/>
      <c r="Z13" s="113"/>
      <c r="AA13" s="113"/>
      <c r="AB13" s="113"/>
      <c r="AC13" s="71"/>
      <c r="AD13" s="113" t="s">
        <v>57</v>
      </c>
      <c r="AE13" s="113"/>
      <c r="AF13" s="113"/>
      <c r="AG13" s="113"/>
      <c r="AH13" s="113"/>
      <c r="AI13" s="71"/>
      <c r="AJ13" s="189" t="s">
        <v>12</v>
      </c>
      <c r="AK13" s="190" t="s">
        <v>29</v>
      </c>
      <c r="AL13" s="108"/>
      <c r="AM13" s="189" t="s">
        <v>3</v>
      </c>
      <c r="AN13" s="189" t="s">
        <v>4</v>
      </c>
      <c r="AO13" s="189" t="s">
        <v>21</v>
      </c>
      <c r="AP13" s="189" t="s">
        <v>49</v>
      </c>
      <c r="AQ13" s="189" t="s">
        <v>47</v>
      </c>
      <c r="AR13" s="189" t="s">
        <v>21</v>
      </c>
      <c r="AS13" s="190" t="s">
        <v>29</v>
      </c>
    </row>
    <row r="14" spans="1:45" s="28" customFormat="1" ht="21.95" customHeight="1">
      <c r="A14" s="36"/>
      <c r="B14" s="52">
        <f>G5</f>
        <v>2016</v>
      </c>
      <c r="C14" s="143">
        <f>G3</f>
        <v>100</v>
      </c>
      <c r="D14" s="172">
        <f>IF(G5=B14,1,0)</f>
        <v>1</v>
      </c>
      <c r="E14" s="173">
        <f t="shared" ref="E14:E21" si="0">VLOOKUP(D14,weights,IF(G$9=1,2,IF(G$9=2,3,4)))*(1+N$8)^(B14-G$5)</f>
        <v>542</v>
      </c>
      <c r="F14" s="144">
        <f>VLOOKUP(B14,Prices,IF(G$8=1,2,IF(G$8=2,4,6)))+('Prices and weights'!H$19-E14)*'Prices and weights'!H$20</f>
        <v>203.5686</v>
      </c>
      <c r="G14" s="144">
        <f>VLOOKUP(B14,Prices,IF(G$8=1,3,IF(G$8=2,5,7)))</f>
        <v>90.2</v>
      </c>
      <c r="H14" s="54">
        <f>IF(B14&gt;=G$5,E14*F14/100*N$3*C14/G$3,0)</f>
        <v>1070.2415576400001</v>
      </c>
      <c r="I14" s="144">
        <f>IF(B14&gt;=G$5,G$6*G14/100*(N$5*C14/G$3),0)</f>
        <v>169.125</v>
      </c>
      <c r="J14" s="54">
        <f>IF(B14&gt;=G$5,G$6*G14/100*(C14*(1-N$4-N$5))/G$3,0)</f>
        <v>952.73749999999995</v>
      </c>
      <c r="K14" s="54">
        <f>G$7*(1+N$7)^(B14-G$4)*C14/G$3</f>
        <v>700</v>
      </c>
      <c r="L14" s="145">
        <v>0</v>
      </c>
      <c r="M14" s="146">
        <f>H14+I14-K14-L14</f>
        <v>539.36655764000011</v>
      </c>
      <c r="N14" s="147">
        <f t="shared" ref="N14:N21" si="1">1/(1+N$9)^(B14-G$4)</f>
        <v>1</v>
      </c>
      <c r="O14" s="54">
        <f>SUMPRODUCT(M$14:M14,N$14:N14)+J14*N14</f>
        <v>1492.1040576400001</v>
      </c>
      <c r="P14" s="31"/>
      <c r="Q14" s="36"/>
      <c r="R14" s="115">
        <f t="shared" ref="R14:R23" si="2">D$33*(1+N$7)^(B14-G$4)*C14/G$3</f>
        <v>560</v>
      </c>
      <c r="S14" s="115">
        <f t="shared" ref="S14:S23" si="3">E$33*(1+N$7)^(B14-G$4)*C14/G$3</f>
        <v>630</v>
      </c>
      <c r="T14" s="115">
        <f t="shared" ref="T14:T23" si="4">F$33*(1+N$7)^(B14-G$4)*C14/G$3</f>
        <v>700</v>
      </c>
      <c r="U14" s="115">
        <f t="shared" ref="U14:U23" si="5">G$33*(1+N$7)^(B14-G$4)*C14/G$3</f>
        <v>770</v>
      </c>
      <c r="V14" s="115">
        <f t="shared" ref="V14:V23" si="6">H$33*(1+N$7)^(B14-G$4)*C14/G$3</f>
        <v>840</v>
      </c>
      <c r="W14" s="105"/>
      <c r="X14" s="119">
        <f>$G3</f>
        <v>100</v>
      </c>
      <c r="Y14" s="119">
        <f>$G3</f>
        <v>100</v>
      </c>
      <c r="Z14" s="119">
        <f>$G3</f>
        <v>100</v>
      </c>
      <c r="AA14" s="119">
        <f>$G3</f>
        <v>100</v>
      </c>
      <c r="AB14" s="119">
        <f>$G3</f>
        <v>100</v>
      </c>
      <c r="AC14" s="106"/>
      <c r="AD14" s="115">
        <f t="shared" ref="AD14:AD23" si="7">IF(B14&gt;=G$5,E14*F14/100*N$3*X14/G$3,0)+IF(B14&gt;=G$5,G$6*G14/100*(AD$12*X14/G$3),0)-G$7*(1+N$7)^(B14-G$4)*X14/G$3-L14</f>
        <v>482.99155764000011</v>
      </c>
      <c r="AE14" s="115">
        <f t="shared" ref="AE14:AE23" si="8">IF(B14&gt;=G$5,E14*F14/100*N$3*Y14/G$3,0)+IF(B14&gt;=G$5,G$6*G14/100*(AE$12*Y14/G$3),0)-G$7*(1+N$7)^(B14-G$4)*Y14/G$3-L14</f>
        <v>511.17905764000011</v>
      </c>
      <c r="AF14" s="115">
        <f t="shared" ref="AF14:AF23" si="9">IF(B14&gt;=G$5,E14*F14/100*N$3*Z14/G$3,0)+IF(B14&gt;=G$5,G$6*G14/100*(AF$12*Z14/G$3),0)-G$7*(1+N$7)^(B14-G$4)*Z14/G$3-L14</f>
        <v>539.36655764000011</v>
      </c>
      <c r="AG14" s="115">
        <f t="shared" ref="AG14:AG23" si="10">IF(B14&gt;=G$5,E14*F14/100*N$3*AA14/G$3,0)+IF(B14&gt;=G$5,G$6*G14/100*(AG$12*AA14/G$3),0)-G$7*(1+N$7)^(B14-G$4)*AA14/G$3-L14</f>
        <v>567.55405764000011</v>
      </c>
      <c r="AH14" s="115">
        <f t="shared" ref="AH14:AH23" si="11">IF(B14&gt;=G$5,E14*F14/100*N$3*AB14/G$3,0)+IF(B14&gt;=G$5,G$6*G14/100*(AH$12*AB14/G$3),0)-G$7*(1+N$7)^(B14-G$4)*AB14/G$3-L14</f>
        <v>595.74155764000011</v>
      </c>
      <c r="AI14" s="106"/>
      <c r="AJ14" s="53">
        <f t="shared" ref="AJ14:AJ23" si="12">1/(1+AJ$11)^(B14-G$4)</f>
        <v>1</v>
      </c>
      <c r="AK14" s="54">
        <f>SUMPRODUCT(M$14:M14,AJ$14:AJ14)+J14*AJ14</f>
        <v>1492.1040576400001</v>
      </c>
      <c r="AL14" s="106"/>
      <c r="AM14" s="54">
        <f>VLOOKUP(B14,Prices,IF(G$8=1,2,IF(G$8=2,4,6)))*AM$9+('Prices and weights'!H$19-E14)*'Prices and weights'!H$20</f>
        <v>224.06860000000003</v>
      </c>
      <c r="AN14" s="54">
        <f t="shared" ref="AN14:AN23" si="13">G14*AM$9</f>
        <v>99.220000000000013</v>
      </c>
      <c r="AO14" s="54">
        <f t="shared" ref="AO14:AO23" si="14">IF(B14&gt;=G$5,E14*AM14/100*N$3*C14/G$3,0)</f>
        <v>1178.0182576400002</v>
      </c>
      <c r="AP14" s="54">
        <f t="shared" ref="AP14:AP23" si="15">IF(B14&gt;=G$5,G$6*AN14/100*(N$5*C14/G$3),0)</f>
        <v>186.03750000000002</v>
      </c>
      <c r="AQ14" s="54">
        <f t="shared" ref="AQ14:AQ23" si="16">IF(B14&gt;=G$5,G$6*AN14/100*(C14*(1-N$4-N$5))/G$3,0)</f>
        <v>1048.0112500000002</v>
      </c>
      <c r="AR14" s="54">
        <f t="shared" ref="AR14:AR23" si="17">AO14+AP14-K14-L14</f>
        <v>664.05575764000014</v>
      </c>
      <c r="AS14" s="54">
        <f>SUMPRODUCT(AR$14:AR14,N$14:N14)+AQ14*N14</f>
        <v>1712.0670076400004</v>
      </c>
    </row>
    <row r="15" spans="1:45" s="28" customFormat="1" ht="21.95" customHeight="1">
      <c r="A15" s="36"/>
      <c r="B15" s="83">
        <f t="shared" ref="B15:B23" si="18">+B14+1</f>
        <v>2017</v>
      </c>
      <c r="C15" s="148">
        <f t="shared" ref="C15:C21" si="19">C14*(1-N$4-N$5)</f>
        <v>84.5</v>
      </c>
      <c r="D15" s="174">
        <f>IF(D14&gt;0,D14+1,IF(G$5=B15,1,0))</f>
        <v>2</v>
      </c>
      <c r="E15" s="175">
        <f t="shared" si="0"/>
        <v>552</v>
      </c>
      <c r="F15" s="149">
        <f>VLOOKUP(B15,Prices,IF(G$8=1,2,IF(G$8=2,4,6)))+('Prices and weights'!H$19-E15)*'Prices and weights'!H$20</f>
        <v>167.29553725981921</v>
      </c>
      <c r="G15" s="149">
        <f t="shared" ref="G15:G21" si="20">VLOOKUP(B15,Prices,IF(G$8=1,3,IF(G$8=2,5,7)))</f>
        <v>74.610332394320451</v>
      </c>
      <c r="H15" s="150">
        <f t="shared" ref="H15:H21" si="21">IF(B15&gt;=G$5,E15*F15/100*N$3*C15/G$3,0)</f>
        <v>756.9233048748597</v>
      </c>
      <c r="I15" s="149">
        <f>G$6*G15/100*(N$5*C15/G$3)</f>
        <v>118.21074538725146</v>
      </c>
      <c r="J15" s="85">
        <f t="shared" ref="J15:J23" si="22">IF(B15&gt;=G$5,G$6*G15/100*(C15*(1-N$4-N$5))/G$3,0)</f>
        <v>665.92053234818331</v>
      </c>
      <c r="K15" s="85">
        <f t="shared" ref="K15:K21" si="23">G$7*(1+N$7)^(B15-G$4)*C15/G$3</f>
        <v>597.41499999999996</v>
      </c>
      <c r="L15" s="151">
        <v>0</v>
      </c>
      <c r="M15" s="85">
        <f t="shared" ref="M15:M21" si="24">H15+I15-K15-L15</f>
        <v>277.71905026211118</v>
      </c>
      <c r="N15" s="152">
        <f t="shared" si="1"/>
        <v>0.93023255813953487</v>
      </c>
      <c r="O15" s="85">
        <f>SUMPRODUCT(M$14:M15,N$14:N15)+J15*N15</f>
        <v>1417.1708205332973</v>
      </c>
      <c r="P15" s="31"/>
      <c r="Q15" s="36"/>
      <c r="R15" s="116">
        <f t="shared" si="2"/>
        <v>477.93200000000002</v>
      </c>
      <c r="S15" s="116">
        <f t="shared" si="3"/>
        <v>537.67349999999999</v>
      </c>
      <c r="T15" s="116">
        <f t="shared" si="4"/>
        <v>597.41499999999996</v>
      </c>
      <c r="U15" s="116">
        <f t="shared" si="5"/>
        <v>657.15650000000005</v>
      </c>
      <c r="V15" s="116">
        <f t="shared" si="6"/>
        <v>716.89800000000002</v>
      </c>
      <c r="W15" s="105"/>
      <c r="X15" s="127">
        <f>X14*(1-$N$4-X$12)</f>
        <v>89.5</v>
      </c>
      <c r="Y15" s="127">
        <f>Y14*(1-$N$4-Y$12)</f>
        <v>87</v>
      </c>
      <c r="Z15" s="127">
        <f>Z14*(1-$N$4-Z$12)</f>
        <v>84.5</v>
      </c>
      <c r="AA15" s="127">
        <f>AA14*(1-$N$4-AA$12)</f>
        <v>82</v>
      </c>
      <c r="AB15" s="127">
        <f>AB14*(1-$N$4-AB$12)</f>
        <v>79.5</v>
      </c>
      <c r="AC15" s="106"/>
      <c r="AD15" s="116">
        <f t="shared" si="7"/>
        <v>252.41697547620458</v>
      </c>
      <c r="AE15" s="116">
        <f t="shared" si="8"/>
        <v>265.65090609098843</v>
      </c>
      <c r="AF15" s="116">
        <f t="shared" si="9"/>
        <v>277.71905026211118</v>
      </c>
      <c r="AG15" s="116">
        <f t="shared" si="10"/>
        <v>288.62140798957262</v>
      </c>
      <c r="AH15" s="116">
        <f t="shared" si="11"/>
        <v>298.35797927337273</v>
      </c>
      <c r="AI15" s="106"/>
      <c r="AJ15" s="84">
        <f t="shared" si="12"/>
        <v>0.93676814988290402</v>
      </c>
      <c r="AK15" s="85">
        <f>SUMPRODUCT(M$14:M15,AJ$14:AJ15)+J15*AJ15</f>
        <v>1423.3380635981214</v>
      </c>
      <c r="AL15" s="106"/>
      <c r="AM15" s="85">
        <f>VLOOKUP(B15,Prices,IF(G$8=1,2,IF(G$8=2,4,6)))*AM$9+('Prices and weights'!H$19-E15)*'Prices and weights'!H$20</f>
        <v>184.25243098580114</v>
      </c>
      <c r="AN15" s="85">
        <f t="shared" si="13"/>
        <v>82.071365633752507</v>
      </c>
      <c r="AO15" s="85">
        <f t="shared" si="14"/>
        <v>833.64422791746563</v>
      </c>
      <c r="AP15" s="85">
        <f t="shared" si="15"/>
        <v>130.03181992597663</v>
      </c>
      <c r="AQ15" s="85">
        <f t="shared" si="16"/>
        <v>732.51258558300162</v>
      </c>
      <c r="AR15" s="85">
        <f t="shared" si="17"/>
        <v>366.26104784344227</v>
      </c>
      <c r="AS15" s="85">
        <f>SUMPRODUCT(AR$14:AR15,N$14:N15)+AQ15*N15</f>
        <v>1686.1707654785528</v>
      </c>
    </row>
    <row r="16" spans="1:45" s="28" customFormat="1" ht="21.95" customHeight="1">
      <c r="A16" s="36"/>
      <c r="B16" s="86">
        <f t="shared" si="18"/>
        <v>2018</v>
      </c>
      <c r="C16" s="153">
        <f t="shared" si="19"/>
        <v>71.402500000000003</v>
      </c>
      <c r="D16" s="176">
        <f t="shared" ref="D16:D21" si="25">IF(D15&gt;0,D15+1,IF(G$5=B16,1,0))</f>
        <v>3</v>
      </c>
      <c r="E16" s="177">
        <f t="shared" si="0"/>
        <v>562</v>
      </c>
      <c r="F16" s="154">
        <f>VLOOKUP(B16,Prices,IF(G$8=1,2,IF(G$8=2,4,6)))+('Prices and weights'!H$19-E16)*'Prices and weights'!H$20</f>
        <v>155.08686671441032</v>
      </c>
      <c r="G16" s="154">
        <f t="shared" si="20"/>
        <v>69.608997354340545</v>
      </c>
      <c r="H16" s="155">
        <f t="shared" si="21"/>
        <v>603.66568529138283</v>
      </c>
      <c r="I16" s="156">
        <f t="shared" ref="I16:I21" si="26">G$6*G16/100*(N$5*C16/G$3)</f>
        <v>93.192308129874405</v>
      </c>
      <c r="J16" s="88">
        <f t="shared" si="22"/>
        <v>524.98333579829239</v>
      </c>
      <c r="K16" s="88">
        <f t="shared" si="23"/>
        <v>509.86383175000003</v>
      </c>
      <c r="L16" s="157">
        <v>0</v>
      </c>
      <c r="M16" s="88">
        <f t="shared" si="24"/>
        <v>186.99416167125719</v>
      </c>
      <c r="N16" s="158">
        <f t="shared" si="1"/>
        <v>0.86533261222282321</v>
      </c>
      <c r="O16" s="88">
        <f>SUMPRODUCT(M$14:M16,N$14:N16)+J16*N16</f>
        <v>1413.8072079385997</v>
      </c>
      <c r="P16" s="31"/>
      <c r="Q16" s="36"/>
      <c r="R16" s="117">
        <f t="shared" si="2"/>
        <v>407.8910654</v>
      </c>
      <c r="S16" s="117">
        <f t="shared" si="3"/>
        <v>458.87744857500002</v>
      </c>
      <c r="T16" s="117">
        <f t="shared" si="4"/>
        <v>509.86383175000003</v>
      </c>
      <c r="U16" s="117">
        <f t="shared" si="5"/>
        <v>560.85021492500005</v>
      </c>
      <c r="V16" s="117">
        <f t="shared" si="6"/>
        <v>611.83659810000006</v>
      </c>
      <c r="W16" s="105"/>
      <c r="X16" s="120">
        <f t="shared" ref="X16:AB23" si="27">X15*(1-$N$4-X$12)</f>
        <v>80.102500000000006</v>
      </c>
      <c r="Y16" s="120">
        <f t="shared" si="27"/>
        <v>75.69</v>
      </c>
      <c r="Z16" s="120">
        <f t="shared" si="27"/>
        <v>71.402500000000003</v>
      </c>
      <c r="AA16" s="120">
        <f t="shared" si="27"/>
        <v>67.240000000000009</v>
      </c>
      <c r="AB16" s="120">
        <f t="shared" si="27"/>
        <v>63.202500000000001</v>
      </c>
      <c r="AC16" s="106"/>
      <c r="AD16" s="117">
        <f t="shared" si="7"/>
        <v>174.92927485658709</v>
      </c>
      <c r="AE16" s="117">
        <f t="shared" si="8"/>
        <v>181.75788144447438</v>
      </c>
      <c r="AF16" s="117">
        <f t="shared" si="9"/>
        <v>186.99416167125719</v>
      </c>
      <c r="AG16" s="117">
        <f t="shared" si="10"/>
        <v>190.71968858070971</v>
      </c>
      <c r="AH16" s="117">
        <f t="shared" si="11"/>
        <v>193.01603521660661</v>
      </c>
      <c r="AI16" s="106"/>
      <c r="AJ16" s="87">
        <f t="shared" si="12"/>
        <v>0.87753456663503904</v>
      </c>
      <c r="AK16" s="88">
        <f>SUMPRODUCT(M$14:M16,AJ$14:AJ16)+J16*AJ16</f>
        <v>1424.3097832371159</v>
      </c>
      <c r="AL16" s="106"/>
      <c r="AM16" s="88">
        <f>VLOOKUP(B16,Prices,IF(G$8=1,2,IF(G$8=2,4,6)))*AM$9+('Prices and weights'!H$19-E16)*'Prices and weights'!H$20</f>
        <v>170.90709338585137</v>
      </c>
      <c r="AN16" s="88">
        <f t="shared" si="13"/>
        <v>76.569897089774599</v>
      </c>
      <c r="AO16" s="88">
        <f t="shared" si="14"/>
        <v>665.244903296134</v>
      </c>
      <c r="AP16" s="88">
        <f t="shared" si="15"/>
        <v>102.51153894286185</v>
      </c>
      <c r="AQ16" s="88">
        <f t="shared" si="16"/>
        <v>577.48166937812164</v>
      </c>
      <c r="AR16" s="88">
        <f t="shared" si="17"/>
        <v>257.89261048899584</v>
      </c>
      <c r="AS16" s="88">
        <f>SUMPRODUCT(AR$14:AR16,N$14:N16)+AQ16*N16</f>
        <v>1727.6403169034447</v>
      </c>
    </row>
    <row r="17" spans="1:45" s="28" customFormat="1" ht="21.95" customHeight="1">
      <c r="A17" s="36"/>
      <c r="B17" s="83">
        <f t="shared" si="18"/>
        <v>2019</v>
      </c>
      <c r="C17" s="148">
        <f t="shared" si="19"/>
        <v>60.335112500000001</v>
      </c>
      <c r="D17" s="174">
        <f t="shared" si="25"/>
        <v>4</v>
      </c>
      <c r="E17" s="175">
        <f t="shared" si="0"/>
        <v>567</v>
      </c>
      <c r="F17" s="149">
        <f>VLOOKUP(B17,Prices,IF(G$8=1,2,IF(G$8=2,4,6)))+('Prices and weights'!H$19-E17)*'Prices and weights'!H$20</f>
        <v>148.051159844777</v>
      </c>
      <c r="G17" s="149">
        <f t="shared" si="20"/>
        <v>66.698526331701871</v>
      </c>
      <c r="H17" s="150">
        <f t="shared" si="21"/>
        <v>491.28865349107059</v>
      </c>
      <c r="I17" s="159">
        <f t="shared" si="26"/>
        <v>75.454932933889594</v>
      </c>
      <c r="J17" s="85">
        <f t="shared" si="22"/>
        <v>425.06278886091138</v>
      </c>
      <c r="K17" s="85">
        <f t="shared" si="23"/>
        <v>435.14328720703747</v>
      </c>
      <c r="L17" s="151">
        <v>0</v>
      </c>
      <c r="M17" s="85">
        <f t="shared" si="24"/>
        <v>131.60029921792272</v>
      </c>
      <c r="N17" s="152">
        <f t="shared" si="1"/>
        <v>0.80496056950960304</v>
      </c>
      <c r="O17" s="85">
        <f>SUMPRODUCT(M$14:M17,N$14:N17)+J17*N17</f>
        <v>1407.6138430037245</v>
      </c>
      <c r="P17" s="31"/>
      <c r="Q17" s="36"/>
      <c r="R17" s="116">
        <f t="shared" si="2"/>
        <v>348.11462976562996</v>
      </c>
      <c r="S17" s="116">
        <f t="shared" si="3"/>
        <v>391.62895848633372</v>
      </c>
      <c r="T17" s="116">
        <f t="shared" si="4"/>
        <v>435.14328720703747</v>
      </c>
      <c r="U17" s="116">
        <f t="shared" si="5"/>
        <v>478.65761592774123</v>
      </c>
      <c r="V17" s="116">
        <f t="shared" si="6"/>
        <v>522.17194464844499</v>
      </c>
      <c r="W17" s="105"/>
      <c r="X17" s="127">
        <f t="shared" si="27"/>
        <v>71.691737500000002</v>
      </c>
      <c r="Y17" s="127">
        <f t="shared" si="27"/>
        <v>65.850300000000004</v>
      </c>
      <c r="Z17" s="127">
        <f t="shared" si="27"/>
        <v>60.335112500000001</v>
      </c>
      <c r="AA17" s="127">
        <f t="shared" si="27"/>
        <v>55.136800000000015</v>
      </c>
      <c r="AB17" s="127">
        <f t="shared" si="27"/>
        <v>50.245987500000005</v>
      </c>
      <c r="AC17" s="106"/>
      <c r="AD17" s="116">
        <f t="shared" si="7"/>
        <v>126.48503845574055</v>
      </c>
      <c r="AE17" s="116">
        <f t="shared" si="8"/>
        <v>129.90441547438718</v>
      </c>
      <c r="AF17" s="116">
        <f t="shared" si="9"/>
        <v>131.60029921792272</v>
      </c>
      <c r="AG17" s="116">
        <f t="shared" si="10"/>
        <v>131.75429098520885</v>
      </c>
      <c r="AH17" s="116">
        <f t="shared" si="11"/>
        <v>130.54017584155258</v>
      </c>
      <c r="AI17" s="106"/>
      <c r="AJ17" s="84">
        <f t="shared" si="12"/>
        <v>0.82204643244500153</v>
      </c>
      <c r="AK17" s="85">
        <f>SUMPRODUCT(M$14:M17,AJ$14:AJ17)+J17*AJ17</f>
        <v>1421.2216647957673</v>
      </c>
      <c r="AL17" s="106"/>
      <c r="AM17" s="85">
        <f>VLOOKUP(B17,Prices,IF(G$8=1,2,IF(G$8=2,4,6)))*AM$9+('Prices and weights'!H$19-E17)*'Prices and weights'!H$20</f>
        <v>163.20991582925473</v>
      </c>
      <c r="AN17" s="85">
        <f t="shared" si="13"/>
        <v>73.368378964872065</v>
      </c>
      <c r="AO17" s="85">
        <f t="shared" si="14"/>
        <v>541.59102750841612</v>
      </c>
      <c r="AP17" s="85">
        <f t="shared" si="15"/>
        <v>83.000426227278552</v>
      </c>
      <c r="AQ17" s="85">
        <f t="shared" si="16"/>
        <v>467.56906774700258</v>
      </c>
      <c r="AR17" s="85">
        <f t="shared" si="17"/>
        <v>189.44816652865723</v>
      </c>
      <c r="AS17" s="85">
        <f>SUMPRODUCT(AR$14:AR17,N$14:N17)+AQ17*N17</f>
        <v>1756.7995625098374</v>
      </c>
    </row>
    <row r="18" spans="1:45" s="28" customFormat="1" ht="21.95" customHeight="1">
      <c r="A18" s="36"/>
      <c r="B18" s="86">
        <f t="shared" si="18"/>
        <v>2020</v>
      </c>
      <c r="C18" s="153">
        <f t="shared" si="19"/>
        <v>50.983170062500001</v>
      </c>
      <c r="D18" s="176">
        <f t="shared" si="25"/>
        <v>5</v>
      </c>
      <c r="E18" s="177">
        <f t="shared" si="0"/>
        <v>572</v>
      </c>
      <c r="F18" s="154">
        <f>VLOOKUP(B18,Prices,IF(G$8=1,2,IF(G$8=2,4,6)))+('Prices and weights'!H$19-E18)*'Prices and weights'!H$20</f>
        <v>140.85568624673178</v>
      </c>
      <c r="G18" s="154">
        <f t="shared" si="20"/>
        <v>63.717757948561989</v>
      </c>
      <c r="H18" s="155">
        <f t="shared" si="21"/>
        <v>398.44555173289439</v>
      </c>
      <c r="I18" s="156">
        <f t="shared" si="26"/>
        <v>60.909999177989008</v>
      </c>
      <c r="J18" s="88">
        <f t="shared" si="22"/>
        <v>343.12632870267146</v>
      </c>
      <c r="K18" s="88">
        <f t="shared" si="23"/>
        <v>371.3730384668462</v>
      </c>
      <c r="L18" s="157">
        <v>0</v>
      </c>
      <c r="M18" s="88">
        <f t="shared" si="24"/>
        <v>87.982512444037184</v>
      </c>
      <c r="N18" s="158">
        <f t="shared" si="1"/>
        <v>0.7488005297763749</v>
      </c>
      <c r="O18" s="88">
        <f>SUMPRODUCT(M$14:M18,N$14:N18)+J18*N18</f>
        <v>1388.2695870468397</v>
      </c>
      <c r="P18" s="31"/>
      <c r="Q18" s="36"/>
      <c r="R18" s="117">
        <f t="shared" si="2"/>
        <v>297.09843077347693</v>
      </c>
      <c r="S18" s="117">
        <f t="shared" si="3"/>
        <v>334.23573462016151</v>
      </c>
      <c r="T18" s="117">
        <f t="shared" si="4"/>
        <v>371.3730384668462</v>
      </c>
      <c r="U18" s="117">
        <f t="shared" si="5"/>
        <v>408.51034231353077</v>
      </c>
      <c r="V18" s="117">
        <f t="shared" si="6"/>
        <v>445.64764616021546</v>
      </c>
      <c r="W18" s="105"/>
      <c r="X18" s="120">
        <f t="shared" si="27"/>
        <v>64.164105062499999</v>
      </c>
      <c r="Y18" s="120">
        <f t="shared" si="27"/>
        <v>57.289761000000006</v>
      </c>
      <c r="Z18" s="120">
        <f t="shared" si="27"/>
        <v>50.983170062500001</v>
      </c>
      <c r="AA18" s="120">
        <f t="shared" si="27"/>
        <v>45.212176000000014</v>
      </c>
      <c r="AB18" s="120">
        <f t="shared" si="27"/>
        <v>39.945560062500007</v>
      </c>
      <c r="AC18" s="106"/>
      <c r="AD18" s="117">
        <f t="shared" si="7"/>
        <v>85.17661752418735</v>
      </c>
      <c r="AE18" s="117">
        <f t="shared" si="8"/>
        <v>87.458480031666625</v>
      </c>
      <c r="AF18" s="117">
        <f t="shared" si="9"/>
        <v>87.982512444037184</v>
      </c>
      <c r="AG18" s="117">
        <f t="shared" si="10"/>
        <v>87.025968882189886</v>
      </c>
      <c r="AH18" s="117">
        <f t="shared" si="11"/>
        <v>84.842483120815757</v>
      </c>
      <c r="AI18" s="106"/>
      <c r="AJ18" s="87">
        <f t="shared" si="12"/>
        <v>0.77006691563934571</v>
      </c>
      <c r="AK18" s="88">
        <f>SUMPRODUCT(M$14:M18,AJ$14:AJ18)+J18*AJ18</f>
        <v>1403.7829712542309</v>
      </c>
      <c r="AL18" s="106"/>
      <c r="AM18" s="88">
        <f>VLOOKUP(B18,Prices,IF(G$8=1,2,IF(G$8=2,4,6)))*AM$9+('Prices and weights'!H$19-E18)*'Prices and weights'!H$20</f>
        <v>155.33699487140498</v>
      </c>
      <c r="AN18" s="88">
        <f t="shared" si="13"/>
        <v>70.089533743418187</v>
      </c>
      <c r="AO18" s="88">
        <f t="shared" si="14"/>
        <v>439.409556513398</v>
      </c>
      <c r="AP18" s="88">
        <f t="shared" si="15"/>
        <v>67.000999095787904</v>
      </c>
      <c r="AQ18" s="88">
        <f t="shared" si="16"/>
        <v>377.43896157293852</v>
      </c>
      <c r="AR18" s="88">
        <f t="shared" si="17"/>
        <v>135.03751714233971</v>
      </c>
      <c r="AS18" s="88">
        <f>SUMPRODUCT(AR$14:AR18,N$14:N18)+AQ18*N18</f>
        <v>1764.1675582110674</v>
      </c>
    </row>
    <row r="19" spans="1:45" s="28" customFormat="1" ht="21.95" customHeight="1">
      <c r="A19" s="36"/>
      <c r="B19" s="83">
        <f t="shared" si="18"/>
        <v>2021</v>
      </c>
      <c r="C19" s="148">
        <f t="shared" si="19"/>
        <v>43.080778702812502</v>
      </c>
      <c r="D19" s="174">
        <f t="shared" si="25"/>
        <v>6</v>
      </c>
      <c r="E19" s="175">
        <f t="shared" si="0"/>
        <v>572</v>
      </c>
      <c r="F19" s="149">
        <f>VLOOKUP(B19,Prices,IF(G$8=1,2,IF(G$8=2,4,6)))+('Prices and weights'!H$19-E19)*'Prices and weights'!H$20</f>
        <v>139.0960196178078</v>
      </c>
      <c r="G19" s="149">
        <f t="shared" si="20"/>
        <v>62.943504631835431</v>
      </c>
      <c r="H19" s="150">
        <f t="shared" si="21"/>
        <v>332.48037076019131</v>
      </c>
      <c r="I19" s="159">
        <f t="shared" si="26"/>
        <v>50.843534884191669</v>
      </c>
      <c r="J19" s="85">
        <f t="shared" si="22"/>
        <v>286.4185798476131</v>
      </c>
      <c r="K19" s="85">
        <f t="shared" si="23"/>
        <v>316.94831967952985</v>
      </c>
      <c r="L19" s="151">
        <v>0</v>
      </c>
      <c r="M19" s="85">
        <f t="shared" si="24"/>
        <v>66.375585964853144</v>
      </c>
      <c r="N19" s="152">
        <f t="shared" si="1"/>
        <v>0.69655863235011617</v>
      </c>
      <c r="O19" s="85">
        <f>SUMPRODUCT(M$14:M19,N$14:N19)+J19*N19</f>
        <v>1377.0782319734883</v>
      </c>
      <c r="P19" s="31"/>
      <c r="Q19" s="36"/>
      <c r="R19" s="116">
        <f t="shared" si="2"/>
        <v>253.55865574362386</v>
      </c>
      <c r="S19" s="116">
        <f t="shared" si="3"/>
        <v>285.25348771157689</v>
      </c>
      <c r="T19" s="116">
        <f t="shared" si="4"/>
        <v>316.94831967952985</v>
      </c>
      <c r="U19" s="116">
        <f t="shared" si="5"/>
        <v>348.6431516474828</v>
      </c>
      <c r="V19" s="116">
        <f t="shared" si="6"/>
        <v>380.3379836154358</v>
      </c>
      <c r="W19" s="105"/>
      <c r="X19" s="127">
        <f t="shared" si="27"/>
        <v>57.426874030937498</v>
      </c>
      <c r="Y19" s="127">
        <f t="shared" si="27"/>
        <v>49.842092070000007</v>
      </c>
      <c r="Z19" s="127">
        <f t="shared" si="27"/>
        <v>43.080778702812502</v>
      </c>
      <c r="AA19" s="127">
        <f t="shared" si="27"/>
        <v>37.073984320000015</v>
      </c>
      <c r="AB19" s="127">
        <f t="shared" si="27"/>
        <v>31.756720249687508</v>
      </c>
      <c r="AC19" s="106"/>
      <c r="AD19" s="116">
        <f t="shared" si="7"/>
        <v>65.887403656748631</v>
      </c>
      <c r="AE19" s="116">
        <f t="shared" si="8"/>
        <v>66.989040803827947</v>
      </c>
      <c r="AF19" s="116">
        <f t="shared" si="9"/>
        <v>66.375585964853144</v>
      </c>
      <c r="AG19" s="116">
        <f t="shared" si="10"/>
        <v>64.413169539317778</v>
      </c>
      <c r="AH19" s="116">
        <f t="shared" si="11"/>
        <v>61.421333732678022</v>
      </c>
      <c r="AI19" s="106"/>
      <c r="AJ19" s="84">
        <f t="shared" si="12"/>
        <v>0.72137415984950426</v>
      </c>
      <c r="AK19" s="85">
        <f>SUMPRODUCT(M$14:M19,AJ$14:AJ19)+J19*AJ19</f>
        <v>1394.049332598287</v>
      </c>
      <c r="AL19" s="106"/>
      <c r="AM19" s="85">
        <f>VLOOKUP(B19,Prices,IF(G$8=1,2,IF(G$8=2,4,6)))*AM$9+('Prices and weights'!H$19-E19)*'Prices and weights'!H$20</f>
        <v>153.40136157958858</v>
      </c>
      <c r="AN19" s="85">
        <f t="shared" si="13"/>
        <v>69.237855095018986</v>
      </c>
      <c r="AO19" s="85">
        <f t="shared" si="14"/>
        <v>366.67434275430634</v>
      </c>
      <c r="AP19" s="85">
        <f t="shared" si="15"/>
        <v>55.927888372610845</v>
      </c>
      <c r="AQ19" s="85">
        <f t="shared" si="16"/>
        <v>315.06043783237448</v>
      </c>
      <c r="AR19" s="85">
        <f t="shared" si="17"/>
        <v>105.65391144738732</v>
      </c>
      <c r="AS19" s="85">
        <f>SUMPRODUCT(AR$14:AR19,N$14:N19)+AQ19*N19</f>
        <v>1774.5932755713864</v>
      </c>
    </row>
    <row r="20" spans="1:45" s="28" customFormat="1" ht="21.95" customHeight="1">
      <c r="A20" s="36"/>
      <c r="B20" s="99">
        <f t="shared" si="18"/>
        <v>2022</v>
      </c>
      <c r="C20" s="153">
        <f t="shared" si="19"/>
        <v>36.403258003876566</v>
      </c>
      <c r="D20" s="176">
        <f t="shared" si="25"/>
        <v>7</v>
      </c>
      <c r="E20" s="177">
        <f t="shared" si="0"/>
        <v>567</v>
      </c>
      <c r="F20" s="154">
        <f>VLOOKUP(B20,Prices,IF(G$8=1,2,IF(G$8=2,4,6)))+('Prices and weights'!H$19-E20)*'Prices and weights'!H$20</f>
        <v>136.70867849224456</v>
      </c>
      <c r="G20" s="154">
        <f t="shared" si="20"/>
        <v>61.707834536587598</v>
      </c>
      <c r="H20" s="155">
        <f t="shared" si="21"/>
        <v>273.71029455742593</v>
      </c>
      <c r="I20" s="156">
        <f t="shared" si="26"/>
        <v>42.119366653048566</v>
      </c>
      <c r="J20" s="88">
        <f t="shared" si="22"/>
        <v>237.27243214550685</v>
      </c>
      <c r="K20" s="88">
        <f t="shared" si="23"/>
        <v>270.49954343049484</v>
      </c>
      <c r="L20" s="157">
        <v>0</v>
      </c>
      <c r="M20" s="88">
        <f t="shared" si="24"/>
        <v>45.330117779979673</v>
      </c>
      <c r="N20" s="158">
        <f t="shared" si="1"/>
        <v>0.64796151846522443</v>
      </c>
      <c r="O20" s="88">
        <f>SUMPRODUCT(M$14:M20,N$14:N20)+J20*N20</f>
        <v>1360.686475087035</v>
      </c>
      <c r="P20" s="31"/>
      <c r="Q20" s="36"/>
      <c r="R20" s="117">
        <f t="shared" si="2"/>
        <v>216.39963474439585</v>
      </c>
      <c r="S20" s="117">
        <f t="shared" si="3"/>
        <v>243.44958908744536</v>
      </c>
      <c r="T20" s="117">
        <f t="shared" si="4"/>
        <v>270.49954343049484</v>
      </c>
      <c r="U20" s="117">
        <f t="shared" si="5"/>
        <v>297.54949777354432</v>
      </c>
      <c r="V20" s="117">
        <f t="shared" si="6"/>
        <v>324.5994521165938</v>
      </c>
      <c r="W20" s="105"/>
      <c r="X20" s="120">
        <f t="shared" si="27"/>
        <v>51.397052257689062</v>
      </c>
      <c r="Y20" s="120">
        <f t="shared" si="27"/>
        <v>43.362620100900003</v>
      </c>
      <c r="Z20" s="120">
        <f t="shared" si="27"/>
        <v>36.403258003876566</v>
      </c>
      <c r="AA20" s="120">
        <f t="shared" si="27"/>
        <v>30.400667142400014</v>
      </c>
      <c r="AB20" s="120">
        <f t="shared" si="27"/>
        <v>25.246592598501572</v>
      </c>
      <c r="AC20" s="106"/>
      <c r="AD20" s="117">
        <f t="shared" si="7"/>
        <v>44.178207050526112</v>
      </c>
      <c r="AE20" s="117">
        <f t="shared" si="8"/>
        <v>45.634147921621832</v>
      </c>
      <c r="AF20" s="117">
        <f t="shared" si="9"/>
        <v>45.330117779979673</v>
      </c>
      <c r="AG20" s="117">
        <f t="shared" si="10"/>
        <v>43.717935803900133</v>
      </c>
      <c r="AH20" s="117">
        <f t="shared" si="11"/>
        <v>41.174552178977137</v>
      </c>
      <c r="AI20" s="106"/>
      <c r="AJ20" s="87">
        <f t="shared" si="12"/>
        <v>0.67576033709555439</v>
      </c>
      <c r="AK20" s="88">
        <f>SUMPRODUCT(M$14:M20,AJ$14:AJ20)+J20*AJ20</f>
        <v>1378.405964597137</v>
      </c>
      <c r="AL20" s="106"/>
      <c r="AM20" s="88">
        <f>VLOOKUP(B20,Prices,IF(G$8=1,2,IF(G$8=2,4,6)))*AM$9+('Prices and weights'!H$19-E20)*'Prices and weights'!H$20</f>
        <v>150.73318634146904</v>
      </c>
      <c r="AN20" s="88">
        <f t="shared" si="13"/>
        <v>67.878617990246369</v>
      </c>
      <c r="AO20" s="88">
        <f t="shared" si="14"/>
        <v>301.78936178834738</v>
      </c>
      <c r="AP20" s="88">
        <f t="shared" si="15"/>
        <v>46.331303318353427</v>
      </c>
      <c r="AQ20" s="88">
        <f t="shared" si="16"/>
        <v>260.99967536005761</v>
      </c>
      <c r="AR20" s="88">
        <f t="shared" si="17"/>
        <v>77.621121676205973</v>
      </c>
      <c r="AS20" s="88">
        <f>SUMPRODUCT(AR$14:AR20,N$14:N20)+AQ20*N20</f>
        <v>1774.5484537187606</v>
      </c>
    </row>
    <row r="21" spans="1:45" s="28" customFormat="1" ht="21.95" customHeight="1">
      <c r="A21" s="36"/>
      <c r="B21" s="83">
        <f t="shared" si="18"/>
        <v>2023</v>
      </c>
      <c r="C21" s="148">
        <f t="shared" si="19"/>
        <v>30.760753013275696</v>
      </c>
      <c r="D21" s="174">
        <f t="shared" si="25"/>
        <v>8</v>
      </c>
      <c r="E21" s="175">
        <f t="shared" si="0"/>
        <v>565</v>
      </c>
      <c r="F21" s="149">
        <f>VLOOKUP(B21,Prices,IF(G$8=1,2,IF(G$8=2,4,6)))+('Prices and weights'!H$19-E21)*'Prices and weights'!H$20</f>
        <v>135.2988814307524</v>
      </c>
      <c r="G21" s="149">
        <f t="shared" si="20"/>
        <v>61.013427829531054</v>
      </c>
      <c r="H21" s="150">
        <f t="shared" si="21"/>
        <v>228.09268148895222</v>
      </c>
      <c r="I21" s="159">
        <f t="shared" si="26"/>
        <v>35.190355949203628</v>
      </c>
      <c r="J21" s="85">
        <f t="shared" si="22"/>
        <v>198.23900518051374</v>
      </c>
      <c r="K21" s="85">
        <f t="shared" si="23"/>
        <v>230.85783534075571</v>
      </c>
      <c r="L21" s="151">
        <v>0</v>
      </c>
      <c r="M21" s="85">
        <f t="shared" si="24"/>
        <v>32.42520209740016</v>
      </c>
      <c r="N21" s="152">
        <f t="shared" si="1"/>
        <v>0.60275490089788319</v>
      </c>
      <c r="O21" s="85">
        <f>SUMPRODUCT(M$14:M21,N$14:N21)+J21*N21</f>
        <v>1345.9770510625833</v>
      </c>
      <c r="P21" s="31"/>
      <c r="Q21" s="36"/>
      <c r="R21" s="116">
        <f t="shared" si="2"/>
        <v>184.68626827260456</v>
      </c>
      <c r="S21" s="116">
        <f t="shared" si="3"/>
        <v>207.77205180668014</v>
      </c>
      <c r="T21" s="116">
        <f t="shared" si="4"/>
        <v>230.85783534075571</v>
      </c>
      <c r="U21" s="116">
        <f t="shared" si="5"/>
        <v>253.94361887483126</v>
      </c>
      <c r="V21" s="116">
        <f t="shared" si="6"/>
        <v>277.02940240890689</v>
      </c>
      <c r="W21" s="105"/>
      <c r="X21" s="127">
        <f t="shared" si="27"/>
        <v>46.000361770631713</v>
      </c>
      <c r="Y21" s="127">
        <f t="shared" si="27"/>
        <v>37.725479487783005</v>
      </c>
      <c r="Z21" s="127">
        <f t="shared" si="27"/>
        <v>30.760753013275696</v>
      </c>
      <c r="AA21" s="127">
        <f t="shared" si="27"/>
        <v>24.928547056768014</v>
      </c>
      <c r="AB21" s="127">
        <f t="shared" si="27"/>
        <v>20.07104111580875</v>
      </c>
      <c r="AC21" s="106"/>
      <c r="AD21" s="116">
        <f t="shared" si="7"/>
        <v>30.94792006733951</v>
      </c>
      <c r="AE21" s="116">
        <f t="shared" si="8"/>
        <v>32.573783903317917</v>
      </c>
      <c r="AF21" s="116">
        <f t="shared" si="9"/>
        <v>32.42520209740016</v>
      </c>
      <c r="AG21" s="116">
        <f t="shared" si="10"/>
        <v>31.030468703707953</v>
      </c>
      <c r="AH21" s="116">
        <f t="shared" si="11"/>
        <v>28.810844058823278</v>
      </c>
      <c r="AI21" s="106"/>
      <c r="AJ21" s="84">
        <f t="shared" si="12"/>
        <v>0.63303076074525011</v>
      </c>
      <c r="AK21" s="85">
        <f>SUMPRODUCT(M$14:M21,AJ$14:AJ21)+J21*AJ21</f>
        <v>1364.0842044768451</v>
      </c>
      <c r="AL21" s="106"/>
      <c r="AM21" s="85">
        <f>VLOOKUP(B21,Prices,IF(G$8=1,2,IF(G$8=2,4,6)))*AM$9+('Prices and weights'!H$19-E21)*'Prices and weights'!H$20</f>
        <v>149.16556957382767</v>
      </c>
      <c r="AN21" s="85">
        <f t="shared" si="13"/>
        <v>67.114770612484165</v>
      </c>
      <c r="AO21" s="85">
        <f t="shared" si="14"/>
        <v>251.46974158345049</v>
      </c>
      <c r="AP21" s="85">
        <f t="shared" si="15"/>
        <v>38.709391544123996</v>
      </c>
      <c r="AQ21" s="85">
        <f t="shared" si="16"/>
        <v>218.06290569856515</v>
      </c>
      <c r="AR21" s="85">
        <f t="shared" si="17"/>
        <v>59.321297786818747</v>
      </c>
      <c r="AS21" s="85">
        <f>SUMPRODUCT(AR$14:AR21,N$14:N21)+AQ21*N21</f>
        <v>1772.625395835998</v>
      </c>
    </row>
    <row r="22" spans="1:45" s="28" customFormat="1" ht="21.95" customHeight="1">
      <c r="A22" s="36"/>
      <c r="B22" s="99">
        <f t="shared" si="18"/>
        <v>2024</v>
      </c>
      <c r="C22" s="160">
        <f>C21*(1-N$4-N$5)</f>
        <v>25.992836296217963</v>
      </c>
      <c r="D22" s="178">
        <f>IF(D21&gt;0,D21+1,IF(G$5=B22,1,0))</f>
        <v>9</v>
      </c>
      <c r="E22" s="179">
        <f>VLOOKUP(D22,weights,IF(G$9=1,2,IF(G$9=2,3,4)))*(1+N$8)^(B22-G$5)</f>
        <v>562</v>
      </c>
      <c r="F22" s="161">
        <f>VLOOKUP(B22,Prices,IF(G$8=1,2,IF(G$8=2,4,6)))+('Prices and weights'!H$19-E22)*'Prices and weights'!H$20</f>
        <v>136.33143790220549</v>
      </c>
      <c r="G22" s="161">
        <f>VLOOKUP(B22,Prices,IF(G$8=1,3,IF(G$8=2,5,7)))</f>
        <v>61.356608676970417</v>
      </c>
      <c r="H22" s="162">
        <f>IF(B22&gt;=G$5,E22*F22/100*N$3*C22/G$3,0)</f>
        <v>193.17803170485561</v>
      </c>
      <c r="I22" s="163">
        <f>G$6*G22/100*(N$5*C22/G$3)</f>
        <v>29.903105344342471</v>
      </c>
      <c r="J22" s="102">
        <f t="shared" si="22"/>
        <v>168.45416010646258</v>
      </c>
      <c r="K22" s="102">
        <f>G$7*(1+N$7)^(B22-G$4)*C22/G$3</f>
        <v>197.02561957156803</v>
      </c>
      <c r="L22" s="164">
        <v>0</v>
      </c>
      <c r="M22" s="102">
        <f>H22+I22-K22-L22</f>
        <v>26.055517477630048</v>
      </c>
      <c r="N22" s="165">
        <f>1/(1+N$9)^(B22-G$4)</f>
        <v>0.56070223339337966</v>
      </c>
      <c r="O22" s="102">
        <f>SUMPRODUCT(M$14:M22,N$14:N22)+J22*N22</f>
        <v>1335.5495297789348</v>
      </c>
      <c r="P22" s="31"/>
      <c r="Q22" s="36"/>
      <c r="R22" s="118">
        <f t="shared" si="2"/>
        <v>157.62049565725439</v>
      </c>
      <c r="S22" s="118">
        <f t="shared" si="3"/>
        <v>177.3230576144112</v>
      </c>
      <c r="T22" s="118">
        <f t="shared" si="4"/>
        <v>197.02561957156803</v>
      </c>
      <c r="U22" s="118">
        <f t="shared" si="5"/>
        <v>216.7281815287248</v>
      </c>
      <c r="V22" s="118">
        <f t="shared" si="6"/>
        <v>236.43074348588161</v>
      </c>
      <c r="W22" s="105"/>
      <c r="X22" s="121">
        <f t="shared" si="27"/>
        <v>41.170323784715386</v>
      </c>
      <c r="Y22" s="121">
        <f t="shared" si="27"/>
        <v>32.821167154371217</v>
      </c>
      <c r="Z22" s="121">
        <f t="shared" si="27"/>
        <v>25.992836296217963</v>
      </c>
      <c r="AA22" s="121">
        <f t="shared" si="27"/>
        <v>20.441408586549773</v>
      </c>
      <c r="AB22" s="121">
        <f t="shared" si="27"/>
        <v>15.956477687067958</v>
      </c>
      <c r="AC22" s="106"/>
      <c r="AD22" s="118">
        <f t="shared" si="7"/>
        <v>25.481658625189596</v>
      </c>
      <c r="AE22" s="118">
        <f t="shared" si="8"/>
        <v>26.607203746005212</v>
      </c>
      <c r="AF22" s="118">
        <f t="shared" si="9"/>
        <v>26.055517477630048</v>
      </c>
      <c r="AG22" s="118">
        <f t="shared" si="10"/>
        <v>24.410126076863293</v>
      </c>
      <c r="AH22" s="118">
        <f t="shared" si="11"/>
        <v>22.11392738265593</v>
      </c>
      <c r="AI22" s="106"/>
      <c r="AJ22" s="104">
        <f t="shared" si="12"/>
        <v>0.59300305456229518</v>
      </c>
      <c r="AK22" s="102">
        <f>SUMPRODUCT(M$14:M22,AJ$14:AJ22)+J22*AJ22</f>
        <v>1353.937649167337</v>
      </c>
      <c r="AL22" s="106"/>
      <c r="AM22" s="102">
        <f>VLOOKUP(B22,Prices,IF(G$8=1,2,IF(G$8=2,4,6)))*AM$9+('Prices and weights'!H$19-E22)*'Prices and weights'!H$20</f>
        <v>150.27612169242605</v>
      </c>
      <c r="AN22" s="102">
        <f t="shared" si="13"/>
        <v>67.492269544667465</v>
      </c>
      <c r="AO22" s="102">
        <f t="shared" si="14"/>
        <v>212.93727879263122</v>
      </c>
      <c r="AP22" s="102">
        <f t="shared" si="15"/>
        <v>32.893415878776722</v>
      </c>
      <c r="AQ22" s="102">
        <f t="shared" si="16"/>
        <v>185.29957611710887</v>
      </c>
      <c r="AR22" s="102">
        <f t="shared" si="17"/>
        <v>48.805075099839911</v>
      </c>
      <c r="AS22" s="102">
        <f>SUMPRODUCT(AR$14:AR22,N$14:N22)+AQ22*N22</f>
        <v>1772.4499115072763</v>
      </c>
    </row>
    <row r="23" spans="1:45" s="28" customFormat="1" ht="21.95" customHeight="1" thickBot="1">
      <c r="A23" s="36"/>
      <c r="B23" s="123">
        <f t="shared" si="18"/>
        <v>2025</v>
      </c>
      <c r="C23" s="166">
        <f>C22*(1-N$4-N$5)</f>
        <v>21.963946670304178</v>
      </c>
      <c r="D23" s="180">
        <f>IF(D22&gt;0,D22+1,IF(G$5=B23,1,0))</f>
        <v>10</v>
      </c>
      <c r="E23" s="181">
        <f>VLOOKUP(D23,weights,IF(G$9=1,2,IF(G$9=2,3,4)))*(1+N$8)^(B23-G$5)</f>
        <v>559</v>
      </c>
      <c r="F23" s="167">
        <f>VLOOKUP(B23,Prices,IF(G$8=1,2,IF(G$8=2,4,6)))+('Prices and weights'!H$19-E23)*'Prices and weights'!H$20</f>
        <v>137.3972</v>
      </c>
      <c r="G23" s="167">
        <f>VLOOKUP(B23,Prices,IF(G$8=1,3,IF(G$8=2,5,7)))</f>
        <v>61.714399999999998</v>
      </c>
      <c r="H23" s="168">
        <f>IF(B23&gt;=G$5,E23*F23/100*N$3*C23/G$3,0)</f>
        <v>163.63334377073147</v>
      </c>
      <c r="I23" s="169">
        <f>G$6*G23/100*(N$5*C23/G$3)</f>
        <v>25.415471069809129</v>
      </c>
      <c r="J23" s="125">
        <f t="shared" si="22"/>
        <v>143.17382035992475</v>
      </c>
      <c r="K23" s="125">
        <f>G$7*(1+N$7)^(B23-G$4)*C23/G$3</f>
        <v>168.15151502335473</v>
      </c>
      <c r="L23" s="170">
        <v>0</v>
      </c>
      <c r="M23" s="125">
        <f>H23+I23-K23-L23</f>
        <v>20.897299817185882</v>
      </c>
      <c r="N23" s="171">
        <f>1/(1+N$9)^(B23-G$4)</f>
        <v>0.52158347292407414</v>
      </c>
      <c r="O23" s="125">
        <f>SUMPRODUCT(M$14:M23,N$14:N23)+J23*N23</f>
        <v>1326.6736906513556</v>
      </c>
      <c r="P23" s="31"/>
      <c r="Q23" s="36"/>
      <c r="R23" s="126">
        <f t="shared" si="2"/>
        <v>134.52121201868377</v>
      </c>
      <c r="S23" s="126">
        <f t="shared" si="3"/>
        <v>151.33636352101925</v>
      </c>
      <c r="T23" s="126">
        <f t="shared" si="4"/>
        <v>168.15151502335473</v>
      </c>
      <c r="U23" s="126">
        <f t="shared" si="5"/>
        <v>184.96666652569019</v>
      </c>
      <c r="V23" s="126">
        <f t="shared" si="6"/>
        <v>201.78181802802567</v>
      </c>
      <c r="W23" s="105"/>
      <c r="X23" s="128">
        <f t="shared" si="27"/>
        <v>36.847439787320269</v>
      </c>
      <c r="Y23" s="128">
        <f t="shared" si="27"/>
        <v>28.55441542430296</v>
      </c>
      <c r="Z23" s="128">
        <f t="shared" si="27"/>
        <v>21.963946670304178</v>
      </c>
      <c r="AA23" s="128">
        <f t="shared" si="27"/>
        <v>16.761955040970815</v>
      </c>
      <c r="AB23" s="128">
        <f t="shared" si="27"/>
        <v>12.685399761219028</v>
      </c>
      <c r="AC23" s="106"/>
      <c r="AD23" s="126">
        <f t="shared" si="7"/>
        <v>20.845387684656544</v>
      </c>
      <c r="AE23" s="126">
        <f t="shared" si="8"/>
        <v>21.660778950416159</v>
      </c>
      <c r="AF23" s="126">
        <f t="shared" si="9"/>
        <v>20.897299817185882</v>
      </c>
      <c r="AG23" s="126">
        <f t="shared" si="10"/>
        <v>19.180604025314494</v>
      </c>
      <c r="AH23" s="126">
        <f t="shared" si="11"/>
        <v>16.962300897778533</v>
      </c>
      <c r="AI23" s="106"/>
      <c r="AJ23" s="124">
        <f t="shared" si="12"/>
        <v>0.55550637429723215</v>
      </c>
      <c r="AK23" s="125">
        <f>SUMPRODUCT(M$14:M23,AJ$14:AJ23)+J23*AJ23</f>
        <v>1345.1863707669509</v>
      </c>
      <c r="AL23" s="106"/>
      <c r="AM23" s="125">
        <f>VLOOKUP(B23,Prices,IF(G$8=1,2,IF(G$8=2,4,6)))*AM$9+('Prices and weights'!H$19-E23)*'Prices and weights'!H$20</f>
        <v>151.42320000000001</v>
      </c>
      <c r="AN23" s="125">
        <f t="shared" si="13"/>
        <v>67.885840000000002</v>
      </c>
      <c r="AO23" s="125">
        <f t="shared" si="14"/>
        <v>180.33762362307408</v>
      </c>
      <c r="AP23" s="125">
        <f t="shared" si="15"/>
        <v>27.957018176790044</v>
      </c>
      <c r="AQ23" s="125">
        <f t="shared" si="16"/>
        <v>157.49120239591721</v>
      </c>
      <c r="AR23" s="125">
        <f t="shared" si="17"/>
        <v>40.143126776509376</v>
      </c>
      <c r="AS23" s="125">
        <f>SUMPRODUCT(AR$14:AR23,N$14:N23)+AQ23*N23</f>
        <v>1771.6348251103407</v>
      </c>
    </row>
    <row r="24" spans="1:45">
      <c r="A24" s="31"/>
      <c r="B24" s="45" t="s">
        <v>23</v>
      </c>
      <c r="C24" s="45"/>
      <c r="D24" s="182"/>
      <c r="E24" s="183">
        <f>AVERAGE(E14:E23)</f>
        <v>562</v>
      </c>
      <c r="F24" s="48">
        <f>AVERAGE(F14:F23)</f>
        <v>149.96900675087485</v>
      </c>
      <c r="G24" s="48">
        <f>AVERAGE(G14:G23)</f>
        <v>67.357138970384923</v>
      </c>
      <c r="H24" s="45"/>
      <c r="I24" s="45"/>
      <c r="J24" s="45"/>
      <c r="K24" s="45"/>
      <c r="L24" s="45"/>
      <c r="M24" s="45"/>
      <c r="N24" s="45"/>
      <c r="O24" s="55" t="s">
        <v>30</v>
      </c>
      <c r="P24" s="31"/>
      <c r="Q24" s="31"/>
      <c r="R24" s="31"/>
      <c r="S24" s="31"/>
      <c r="T24" s="31"/>
      <c r="U24" s="31"/>
      <c r="V24" s="31"/>
      <c r="W24" s="70"/>
      <c r="X24" s="71"/>
      <c r="Y24" s="70"/>
      <c r="Z24" s="70"/>
      <c r="AA24" s="70"/>
      <c r="AB24" s="70"/>
      <c r="AC24" s="71"/>
      <c r="AD24" s="71"/>
      <c r="AE24" s="70"/>
      <c r="AF24" s="70"/>
      <c r="AG24" s="70"/>
      <c r="AH24" s="70"/>
      <c r="AI24" s="71"/>
      <c r="AJ24" s="71"/>
      <c r="AK24" s="71"/>
      <c r="AL24" s="71"/>
      <c r="AM24" s="71"/>
      <c r="AN24" s="71"/>
      <c r="AO24" s="71"/>
      <c r="AP24" s="71"/>
      <c r="AQ24" s="71"/>
      <c r="AR24" s="71"/>
      <c r="AS24" s="71"/>
    </row>
    <row r="25" spans="1:45">
      <c r="A25" s="31"/>
      <c r="B25" s="31"/>
      <c r="C25" s="31"/>
      <c r="D25" s="31"/>
      <c r="E25" s="31"/>
      <c r="F25" s="31"/>
      <c r="G25" s="31"/>
      <c r="H25" s="31"/>
      <c r="I25" s="31"/>
      <c r="J25" s="31"/>
      <c r="K25" s="31"/>
      <c r="L25" s="31"/>
      <c r="M25" s="31"/>
      <c r="N25" s="31"/>
      <c r="O25" s="31"/>
      <c r="P25" s="31"/>
      <c r="Q25" s="31"/>
      <c r="R25" s="31"/>
      <c r="S25" s="31"/>
      <c r="T25" s="31"/>
      <c r="U25" s="31"/>
      <c r="V25" s="31"/>
      <c r="W25" s="70"/>
      <c r="X25" s="70"/>
      <c r="Y25" s="70"/>
      <c r="Z25" s="70"/>
      <c r="AA25" s="70"/>
      <c r="AB25" s="70"/>
      <c r="AC25" s="71"/>
      <c r="AD25" s="70"/>
      <c r="AE25" s="70"/>
      <c r="AF25" s="70"/>
      <c r="AG25" s="70"/>
      <c r="AH25" s="70"/>
      <c r="AI25" s="71"/>
      <c r="AJ25" s="71"/>
      <c r="AK25" s="71"/>
      <c r="AL25" s="71"/>
      <c r="AM25" s="71"/>
      <c r="AN25" s="71"/>
      <c r="AO25" s="71"/>
      <c r="AP25" s="71"/>
      <c r="AQ25" s="71"/>
      <c r="AR25" s="71"/>
      <c r="AS25" s="71"/>
    </row>
    <row r="26" spans="1:45">
      <c r="A26" s="31"/>
      <c r="B26" s="274" t="s">
        <v>46</v>
      </c>
      <c r="C26" s="275"/>
      <c r="D26" s="275"/>
      <c r="E26" s="275"/>
      <c r="F26" s="275"/>
      <c r="G26" s="275"/>
      <c r="H26" s="275"/>
      <c r="I26" s="275"/>
      <c r="J26" s="275"/>
      <c r="K26" s="275"/>
      <c r="L26" s="275"/>
      <c r="M26" s="275"/>
      <c r="N26" s="275"/>
      <c r="O26" s="275"/>
      <c r="P26" s="31"/>
      <c r="Q26" s="31"/>
      <c r="R26" s="31"/>
      <c r="S26" s="31"/>
      <c r="T26" s="31"/>
      <c r="U26" s="31"/>
      <c r="V26" s="31"/>
      <c r="W26" s="70"/>
      <c r="X26" s="70"/>
      <c r="Y26" s="70"/>
      <c r="Z26" s="70"/>
      <c r="AA26" s="70"/>
      <c r="AB26" s="70"/>
      <c r="AC26" s="71"/>
      <c r="AD26" s="70"/>
      <c r="AE26" s="70"/>
      <c r="AF26" s="70"/>
      <c r="AG26" s="70"/>
      <c r="AH26" s="70"/>
      <c r="AI26" s="71"/>
      <c r="AJ26" s="71"/>
      <c r="AK26" s="71"/>
      <c r="AL26" s="71"/>
      <c r="AM26" s="71"/>
      <c r="AN26" s="71"/>
      <c r="AO26" s="71"/>
      <c r="AP26" s="71"/>
      <c r="AQ26" s="71"/>
      <c r="AR26" s="71"/>
      <c r="AS26" s="71"/>
    </row>
    <row r="27" spans="1:45" ht="15.75" thickBot="1">
      <c r="A27" s="31"/>
      <c r="B27" s="276"/>
      <c r="C27" s="276"/>
      <c r="D27" s="276"/>
      <c r="E27" s="276"/>
      <c r="F27" s="276"/>
      <c r="G27" s="276"/>
      <c r="H27" s="276"/>
      <c r="I27" s="276"/>
      <c r="J27" s="276"/>
      <c r="K27" s="276"/>
      <c r="L27" s="276"/>
      <c r="M27" s="276"/>
      <c r="N27" s="276"/>
      <c r="O27" s="276"/>
      <c r="P27" s="31"/>
      <c r="Q27" s="31"/>
      <c r="R27" s="31"/>
      <c r="S27" s="31"/>
      <c r="T27" s="31"/>
      <c r="U27" s="31"/>
      <c r="V27" s="31"/>
      <c r="W27" s="70"/>
      <c r="X27" s="70"/>
      <c r="Y27" s="70"/>
      <c r="Z27" s="70"/>
      <c r="AA27" s="70"/>
      <c r="AB27" s="70"/>
      <c r="AC27" s="71"/>
      <c r="AD27" s="70"/>
      <c r="AE27" s="70"/>
      <c r="AF27" s="70"/>
      <c r="AG27" s="70"/>
      <c r="AH27" s="70"/>
      <c r="AI27" s="71"/>
      <c r="AJ27" s="71"/>
      <c r="AK27" s="71"/>
      <c r="AL27" s="71"/>
      <c r="AM27" s="71"/>
      <c r="AN27" s="71"/>
      <c r="AO27" s="71"/>
      <c r="AP27" s="71"/>
      <c r="AQ27" s="71"/>
      <c r="AR27" s="71"/>
      <c r="AS27" s="71"/>
    </row>
    <row r="28" spans="1:45">
      <c r="A28" s="31"/>
      <c r="B28" s="31"/>
      <c r="C28" s="31"/>
      <c r="D28" s="31"/>
      <c r="E28" s="31"/>
      <c r="F28" s="31"/>
      <c r="G28" s="31"/>
      <c r="H28" s="31"/>
      <c r="I28" s="31"/>
      <c r="J28" s="31"/>
      <c r="K28" s="31"/>
      <c r="L28" s="31"/>
      <c r="M28" s="31"/>
      <c r="N28" s="31"/>
      <c r="O28" s="32"/>
      <c r="P28" s="31"/>
      <c r="Q28" s="31"/>
      <c r="R28" s="31"/>
      <c r="S28" s="31"/>
      <c r="T28" s="31"/>
      <c r="U28" s="31"/>
      <c r="V28" s="31"/>
      <c r="W28" s="70"/>
      <c r="X28" s="70"/>
      <c r="Y28" s="70"/>
      <c r="Z28" s="70"/>
      <c r="AA28" s="70"/>
      <c r="AB28" s="70"/>
      <c r="AC28" s="71"/>
      <c r="AD28" s="70"/>
      <c r="AE28" s="70"/>
      <c r="AF28" s="70"/>
      <c r="AG28" s="70"/>
      <c r="AH28" s="70"/>
      <c r="AI28" s="71"/>
      <c r="AJ28" s="71"/>
      <c r="AK28" s="71"/>
      <c r="AL28" s="71"/>
      <c r="AM28" s="71"/>
      <c r="AN28" s="71"/>
      <c r="AO28" s="71"/>
      <c r="AP28" s="71"/>
      <c r="AQ28" s="71"/>
      <c r="AR28" s="71"/>
      <c r="AS28" s="71"/>
    </row>
    <row r="29" spans="1:45">
      <c r="A29" s="31"/>
      <c r="B29" s="31"/>
      <c r="C29" s="31"/>
      <c r="D29" s="31"/>
      <c r="E29" s="31"/>
      <c r="F29" s="31"/>
      <c r="G29" s="31"/>
      <c r="H29" s="31"/>
      <c r="I29" s="31"/>
      <c r="J29" s="31"/>
      <c r="K29" s="31"/>
      <c r="L29" s="31"/>
      <c r="M29" s="31"/>
      <c r="N29" s="31"/>
      <c r="O29" s="32"/>
      <c r="P29" s="31"/>
      <c r="Q29" s="31"/>
      <c r="R29" s="31"/>
      <c r="S29" s="31"/>
      <c r="T29" s="31"/>
      <c r="U29" s="31"/>
      <c r="V29" s="31"/>
      <c r="W29" s="70"/>
      <c r="X29" s="70"/>
      <c r="Y29" s="70"/>
      <c r="Z29" s="70"/>
      <c r="AA29" s="70"/>
      <c r="AB29" s="70"/>
      <c r="AC29" s="71"/>
      <c r="AD29" s="70"/>
      <c r="AE29" s="70"/>
      <c r="AF29" s="70"/>
      <c r="AG29" s="70"/>
      <c r="AH29" s="70"/>
      <c r="AI29" s="71"/>
      <c r="AJ29" s="71"/>
      <c r="AK29" s="71"/>
      <c r="AL29" s="71"/>
      <c r="AM29" s="71"/>
      <c r="AN29" s="71"/>
      <c r="AO29" s="71"/>
      <c r="AP29" s="71"/>
      <c r="AQ29" s="71"/>
      <c r="AR29" s="71"/>
      <c r="AS29" s="71"/>
    </row>
    <row r="30" spans="1:45">
      <c r="A30" s="31"/>
      <c r="B30" s="31"/>
      <c r="C30" s="31"/>
      <c r="D30" s="31"/>
      <c r="E30" s="31"/>
      <c r="F30" s="31"/>
      <c r="G30" s="31"/>
      <c r="H30" s="31"/>
      <c r="I30" s="31"/>
      <c r="J30" s="31"/>
      <c r="K30" s="31"/>
      <c r="L30" s="31"/>
      <c r="M30" s="31"/>
      <c r="N30" s="31"/>
      <c r="O30" s="32"/>
      <c r="P30" s="31"/>
      <c r="Q30" s="31"/>
      <c r="R30" s="31"/>
      <c r="S30" s="31"/>
      <c r="T30" s="31"/>
      <c r="U30" s="31"/>
      <c r="V30" s="31"/>
      <c r="W30" s="70"/>
      <c r="X30" s="70"/>
      <c r="Y30" s="70"/>
      <c r="Z30" s="70"/>
      <c r="AA30" s="70"/>
      <c r="AB30" s="70"/>
      <c r="AC30" s="71"/>
      <c r="AD30" s="70"/>
      <c r="AE30" s="70"/>
      <c r="AF30" s="70"/>
      <c r="AG30" s="70"/>
      <c r="AH30" s="70"/>
      <c r="AI30" s="71"/>
      <c r="AJ30" s="71"/>
      <c r="AK30" s="71"/>
      <c r="AL30" s="71"/>
      <c r="AM30" s="71"/>
      <c r="AN30" s="71"/>
      <c r="AO30" s="71"/>
      <c r="AP30" s="71"/>
      <c r="AQ30" s="71"/>
      <c r="AR30" s="71"/>
      <c r="AS30" s="71"/>
    </row>
    <row r="31" spans="1:45" ht="15.75" thickBot="1">
      <c r="A31" s="31"/>
      <c r="B31" s="43" t="s">
        <v>45</v>
      </c>
      <c r="C31" s="43"/>
      <c r="D31" s="42"/>
      <c r="E31" s="42"/>
      <c r="F31" s="42"/>
      <c r="G31" s="42"/>
      <c r="H31" s="31"/>
      <c r="I31" s="31"/>
      <c r="J31" s="31"/>
      <c r="K31" s="31"/>
      <c r="L31" s="31"/>
      <c r="M31" s="31"/>
      <c r="N31" s="31"/>
      <c r="O31" s="32"/>
      <c r="P31" s="31"/>
      <c r="Q31" s="31"/>
      <c r="R31" s="31"/>
      <c r="S31" s="31"/>
      <c r="T31" s="31"/>
      <c r="U31" s="31"/>
      <c r="V31" s="31"/>
      <c r="W31" s="70"/>
      <c r="X31" s="70"/>
      <c r="Y31" s="70"/>
      <c r="Z31" s="70"/>
      <c r="AA31" s="70"/>
      <c r="AB31" s="70"/>
      <c r="AC31" s="71"/>
      <c r="AD31" s="70"/>
      <c r="AE31" s="70"/>
      <c r="AF31" s="70"/>
      <c r="AG31" s="70"/>
      <c r="AH31" s="70"/>
      <c r="AI31" s="71"/>
      <c r="AJ31" s="71"/>
      <c r="AK31" s="71"/>
      <c r="AL31" s="71"/>
      <c r="AM31" s="71"/>
      <c r="AN31" s="71"/>
      <c r="AO31" s="71"/>
      <c r="AP31" s="71"/>
      <c r="AQ31" s="71"/>
      <c r="AR31" s="71"/>
      <c r="AS31" s="71"/>
    </row>
    <row r="32" spans="1:45">
      <c r="A32" s="31"/>
      <c r="B32" s="56"/>
      <c r="C32" s="56"/>
      <c r="D32" s="57" t="s">
        <v>2</v>
      </c>
      <c r="E32" s="44"/>
      <c r="F32" s="44"/>
      <c r="G32" s="44"/>
      <c r="H32" s="44"/>
      <c r="I32" s="31"/>
      <c r="J32" s="31"/>
      <c r="K32" s="31"/>
      <c r="L32" s="31"/>
      <c r="M32" s="31"/>
      <c r="N32" s="31"/>
      <c r="O32" s="32"/>
      <c r="P32" s="31"/>
      <c r="Q32" s="31"/>
      <c r="R32" s="31"/>
      <c r="S32" s="31"/>
      <c r="T32" s="31"/>
      <c r="U32" s="31"/>
      <c r="V32" s="31"/>
      <c r="W32" s="70"/>
      <c r="X32" s="70"/>
      <c r="Y32" s="70"/>
      <c r="Z32" s="70"/>
      <c r="AA32" s="70"/>
      <c r="AB32" s="70"/>
      <c r="AC32" s="71"/>
      <c r="AD32" s="70"/>
      <c r="AE32" s="70"/>
      <c r="AF32" s="70"/>
      <c r="AG32" s="70"/>
      <c r="AH32" s="70"/>
      <c r="AI32" s="71"/>
      <c r="AJ32" s="71"/>
      <c r="AK32" s="71"/>
      <c r="AL32" s="71"/>
      <c r="AM32" s="71"/>
      <c r="AN32" s="71"/>
      <c r="AO32" s="71"/>
      <c r="AP32" s="71"/>
      <c r="AQ32" s="71"/>
      <c r="AR32" s="71"/>
      <c r="AS32" s="71"/>
    </row>
    <row r="33" spans="1:45">
      <c r="A33" s="31"/>
      <c r="B33" s="31"/>
      <c r="C33" s="31"/>
      <c r="D33" s="49">
        <f>E33-H46</f>
        <v>560</v>
      </c>
      <c r="E33" s="49">
        <f>F33-H46</f>
        <v>630</v>
      </c>
      <c r="F33" s="49">
        <f>G7</f>
        <v>700</v>
      </c>
      <c r="G33" s="49">
        <f>F33+H46</f>
        <v>770</v>
      </c>
      <c r="H33" s="49">
        <f>G33+H46</f>
        <v>840</v>
      </c>
      <c r="I33" s="31"/>
      <c r="J33" s="31"/>
      <c r="K33" s="31"/>
      <c r="L33" s="31"/>
      <c r="M33" s="31"/>
      <c r="N33" s="31"/>
      <c r="O33" s="32"/>
      <c r="P33" s="31"/>
      <c r="Q33" s="31"/>
      <c r="R33" s="31"/>
      <c r="S33" s="31"/>
      <c r="T33" s="31"/>
      <c r="U33" s="31"/>
      <c r="V33" s="31"/>
      <c r="W33" s="70"/>
      <c r="X33" s="70"/>
      <c r="Y33" s="70"/>
      <c r="Z33" s="70"/>
      <c r="AA33" s="70"/>
      <c r="AB33" s="70"/>
      <c r="AC33" s="71"/>
      <c r="AD33" s="70"/>
      <c r="AE33" s="70"/>
      <c r="AF33" s="70"/>
      <c r="AG33" s="70"/>
      <c r="AH33" s="70"/>
      <c r="AI33" s="71"/>
      <c r="AJ33" s="71"/>
      <c r="AK33" s="71"/>
      <c r="AL33" s="71"/>
      <c r="AM33" s="71"/>
      <c r="AN33" s="71"/>
      <c r="AO33" s="71"/>
      <c r="AP33" s="71"/>
      <c r="AQ33" s="71"/>
      <c r="AR33" s="71"/>
      <c r="AS33" s="71"/>
    </row>
    <row r="34" spans="1:45">
      <c r="A34" s="31"/>
      <c r="B34" s="50" t="s">
        <v>5</v>
      </c>
      <c r="C34" s="50" t="s">
        <v>3</v>
      </c>
      <c r="D34" s="51" t="s">
        <v>29</v>
      </c>
      <c r="E34" s="51" t="s">
        <v>29</v>
      </c>
      <c r="F34" s="51" t="s">
        <v>29</v>
      </c>
      <c r="G34" s="51" t="s">
        <v>29</v>
      </c>
      <c r="H34" s="51" t="s">
        <v>29</v>
      </c>
      <c r="I34" s="31"/>
      <c r="J34" s="31"/>
      <c r="K34" s="31"/>
      <c r="L34" s="31"/>
      <c r="M34" s="31"/>
      <c r="N34" s="31"/>
      <c r="O34" s="32"/>
      <c r="P34" s="31"/>
      <c r="Q34" s="31"/>
      <c r="R34" s="31"/>
      <c r="S34" s="31"/>
      <c r="T34" s="31"/>
      <c r="U34" s="31"/>
      <c r="V34" s="31"/>
      <c r="W34" s="70"/>
      <c r="X34" s="70"/>
      <c r="Y34" s="70"/>
      <c r="Z34" s="70"/>
      <c r="AA34" s="70"/>
      <c r="AB34" s="70"/>
      <c r="AC34" s="71"/>
      <c r="AD34" s="70"/>
      <c r="AE34" s="70"/>
      <c r="AF34" s="70"/>
      <c r="AG34" s="70"/>
      <c r="AH34" s="70"/>
      <c r="AI34" s="71"/>
      <c r="AJ34" s="71"/>
      <c r="AK34" s="71"/>
      <c r="AL34" s="71"/>
      <c r="AM34" s="71"/>
      <c r="AN34" s="71"/>
      <c r="AO34" s="71"/>
      <c r="AP34" s="71"/>
      <c r="AQ34" s="71"/>
      <c r="AR34" s="71"/>
      <c r="AS34" s="71"/>
    </row>
    <row r="35" spans="1:45" ht="21.95" customHeight="1">
      <c r="A35" s="31"/>
      <c r="B35" s="100">
        <f>B14</f>
        <v>2016</v>
      </c>
      <c r="C35" s="100">
        <f>D14</f>
        <v>1</v>
      </c>
      <c r="D35" s="101">
        <f>SUMPRODUCT(M$14:M14,N$14:N14)+J14*N14+SUMPRODUCT(K$14:K14,N$14:N14)-SUMPRODUCT(R$14:R14,N$14:N14)</f>
        <v>1632.1040576400001</v>
      </c>
      <c r="E35" s="101">
        <f>SUMPRODUCT(M$14:M14,N$14:N14)+J14*N14+SUMPRODUCT(K$14:K14,N$14:N14)-SUMPRODUCT(S$14:S14,N$14:N14)</f>
        <v>1562.1040576400001</v>
      </c>
      <c r="F35" s="101">
        <f>SUMPRODUCT(M$14:M14,N$14:N14)+J14*N14+SUMPRODUCT(K$14:K14,N$14:N14)-SUMPRODUCT(T$14:T14,N$14:N14)</f>
        <v>1492.1040576400001</v>
      </c>
      <c r="G35" s="101">
        <f>SUMPRODUCT(M$14:M14,N$14:N14)+J14*N14+SUMPRODUCT(K$14:K14,N$14:N14)-SUMPRODUCT(U$14:U14,N$14:N14)</f>
        <v>1422.1040576400001</v>
      </c>
      <c r="H35" s="101">
        <f>SUMPRODUCT(M$14:M14,N$14:N14)+J14*N14+SUMPRODUCT(K$14:K14,N$14:N14)-SUMPRODUCT(V$14:V14,N$14:N14)</f>
        <v>1352.1040576400001</v>
      </c>
      <c r="I35" s="31"/>
      <c r="J35" s="31"/>
      <c r="K35" s="31"/>
      <c r="L35" s="31"/>
      <c r="M35" s="31"/>
      <c r="N35" s="31"/>
      <c r="O35" s="32"/>
      <c r="P35" s="31"/>
      <c r="Q35" s="31"/>
      <c r="R35" s="31"/>
      <c r="S35" s="31"/>
      <c r="T35" s="31"/>
      <c r="U35" s="31"/>
      <c r="V35" s="31"/>
      <c r="W35" s="70"/>
      <c r="X35" s="70"/>
      <c r="Y35" s="70"/>
      <c r="Z35" s="70"/>
      <c r="AA35" s="70"/>
      <c r="AB35" s="70"/>
      <c r="AC35" s="71"/>
      <c r="AD35" s="70"/>
      <c r="AE35" s="70"/>
      <c r="AF35" s="70"/>
      <c r="AG35" s="70"/>
      <c r="AH35" s="70"/>
      <c r="AI35" s="71"/>
      <c r="AJ35" s="71"/>
      <c r="AK35" s="71"/>
      <c r="AL35" s="71"/>
      <c r="AM35" s="71"/>
      <c r="AN35" s="71"/>
      <c r="AO35" s="71"/>
      <c r="AP35" s="71"/>
      <c r="AQ35" s="71"/>
      <c r="AR35" s="71"/>
      <c r="AS35" s="71"/>
    </row>
    <row r="36" spans="1:45" ht="21.95" customHeight="1">
      <c r="A36" s="31"/>
      <c r="B36" s="83">
        <f t="shared" ref="B36:B44" si="28">+B35+1</f>
        <v>2017</v>
      </c>
      <c r="C36" s="83">
        <f t="shared" ref="C36:C44" si="29">D15</f>
        <v>2</v>
      </c>
      <c r="D36" s="85">
        <f>SUMPRODUCT(M$14:M15,N$14:N15)+J15*N15+SUMPRODUCT(K$14:K15,N$14:N15)-SUMPRODUCT(R$14:R15,N$14:N15)</f>
        <v>1668.3177972774829</v>
      </c>
      <c r="E36" s="85">
        <f>SUMPRODUCT(M$14:M15,N$14:N15)+J15*N15+SUMPRODUCT(K$14:K15,N$14:N15)-SUMPRODUCT(S$14:S15,N$14:N15)</f>
        <v>1542.74430890539</v>
      </c>
      <c r="F36" s="85">
        <f>SUMPRODUCT(M$14:M15,N$14:N15)+J15*N15+SUMPRODUCT(K$14:K15,N$14:N15)-SUMPRODUCT(T$14:T15,N$14:N15)</f>
        <v>1417.170820533297</v>
      </c>
      <c r="G36" s="85">
        <f>SUMPRODUCT(M$14:M15,N$14:N15)+J15*N15+SUMPRODUCT(K$14:K15,N$14:N15)-SUMPRODUCT(U$14:U15,N$14:N15)</f>
        <v>1291.5973321612039</v>
      </c>
      <c r="H36" s="85">
        <f>SUMPRODUCT(M$14:M15,N$14:N15)+J15*N15+SUMPRODUCT(K$14:K15,N$14:N15)-SUMPRODUCT(V$14:V15,N$14:N15)</f>
        <v>1166.0238437891107</v>
      </c>
      <c r="I36" s="31"/>
      <c r="J36" s="31"/>
      <c r="K36" s="31"/>
      <c r="L36" s="31"/>
      <c r="M36" s="31"/>
      <c r="N36" s="31"/>
      <c r="O36" s="32"/>
      <c r="P36" s="31"/>
      <c r="Q36" s="31"/>
      <c r="R36" s="31"/>
      <c r="S36" s="31"/>
      <c r="T36" s="31"/>
      <c r="U36" s="31"/>
      <c r="V36" s="31"/>
      <c r="W36" s="70"/>
      <c r="X36" s="71"/>
      <c r="Y36" s="71"/>
      <c r="Z36" s="71"/>
      <c r="AA36" s="71"/>
      <c r="AB36" s="71"/>
      <c r="AC36" s="71"/>
      <c r="AD36" s="71"/>
      <c r="AE36" s="71"/>
      <c r="AF36" s="71"/>
      <c r="AG36" s="71"/>
      <c r="AH36" s="71"/>
      <c r="AI36" s="71"/>
      <c r="AJ36" s="71"/>
      <c r="AK36" s="71"/>
      <c r="AL36" s="71"/>
      <c r="AM36" s="71"/>
      <c r="AN36" s="71"/>
      <c r="AO36" s="71"/>
      <c r="AP36" s="71"/>
      <c r="AQ36" s="71"/>
      <c r="AR36" s="71"/>
      <c r="AS36" s="71"/>
    </row>
    <row r="37" spans="1:45" ht="21.95" customHeight="1">
      <c r="A37" s="31"/>
      <c r="B37" s="99">
        <f t="shared" si="28"/>
        <v>2018</v>
      </c>
      <c r="C37" s="99">
        <f t="shared" si="29"/>
        <v>3</v>
      </c>
      <c r="D37" s="102">
        <f>SUMPRODUCT(M$14:M16,N$14:N16)+J16*N16+SUMPRODUCT(K$14:K16,N$14:N16)-SUMPRODUCT(R$14:R16,N$14:N16)</f>
        <v>1753.1945449640189</v>
      </c>
      <c r="E37" s="102">
        <f>SUMPRODUCT(M$14:M16,N$14:N16)+J16*N16+SUMPRODUCT(K$14:K16,N$14:N16)-SUMPRODUCT(S$14:S16,N$14:N16)</f>
        <v>1583.5008764513091</v>
      </c>
      <c r="F37" s="102">
        <f>SUMPRODUCT(M$14:M16,N$14:N16)+J16*N16+SUMPRODUCT(K$14:K16,N$14:N16)-SUMPRODUCT(T$14:T16,N$14:N16)</f>
        <v>1413.8072079385997</v>
      </c>
      <c r="G37" s="102">
        <f>SUMPRODUCT(M$14:M16,N$14:N16)+J16*N16+SUMPRODUCT(K$14:K16,N$14:N16)-SUMPRODUCT(U$14:U16,N$14:N16)</f>
        <v>1244.1135394258899</v>
      </c>
      <c r="H37" s="102">
        <f>SUMPRODUCT(M$14:M16,N$14:N16)+J16*N16+SUMPRODUCT(K$14:K16,N$14:N16)-SUMPRODUCT(V$14:V16,N$14:N16)</f>
        <v>1074.4198709131801</v>
      </c>
      <c r="I37" s="31"/>
      <c r="J37" s="31"/>
      <c r="K37" s="31"/>
      <c r="L37" s="31"/>
      <c r="M37" s="31"/>
      <c r="N37" s="31"/>
      <c r="O37" s="32"/>
      <c r="P37" s="31"/>
      <c r="Q37" s="31"/>
      <c r="R37" s="31"/>
      <c r="S37" s="31"/>
      <c r="T37" s="31"/>
      <c r="U37" s="31"/>
      <c r="V37" s="31"/>
      <c r="W37" s="70"/>
      <c r="X37" s="71"/>
      <c r="Y37" s="71"/>
      <c r="Z37" s="71"/>
      <c r="AA37" s="71"/>
      <c r="AB37" s="71"/>
      <c r="AC37" s="71"/>
      <c r="AD37" s="71"/>
      <c r="AE37" s="71"/>
      <c r="AF37" s="71"/>
      <c r="AG37" s="71"/>
      <c r="AH37" s="71"/>
      <c r="AI37" s="71"/>
      <c r="AJ37" s="71"/>
      <c r="AK37" s="71"/>
      <c r="AL37" s="71"/>
      <c r="AM37" s="71"/>
      <c r="AN37" s="71"/>
      <c r="AO37" s="71"/>
      <c r="AP37" s="71"/>
      <c r="AQ37" s="71"/>
      <c r="AR37" s="71"/>
      <c r="AS37" s="71"/>
    </row>
    <row r="38" spans="1:45" ht="21.95" customHeight="1">
      <c r="A38" s="31"/>
      <c r="B38" s="83">
        <f t="shared" si="28"/>
        <v>2019</v>
      </c>
      <c r="C38" s="83">
        <f t="shared" si="29"/>
        <v>4</v>
      </c>
      <c r="D38" s="85">
        <f>SUMPRODUCT(M$14:M17,N$14:N17)+J17*N17+SUMPRODUCT(K$14:K17,N$14:N17)-SUMPRODUCT(R$14:R17,N$14:N17)</f>
        <v>1817.0558176868353</v>
      </c>
      <c r="E38" s="85">
        <f>SUMPRODUCT(M$14:M17,N$14:N17)+J17*N17+SUMPRODUCT(K$14:K17,N$14:N17)-SUMPRODUCT(S$14:S17,N$14:N17)</f>
        <v>1612.3348303452797</v>
      </c>
      <c r="F38" s="85">
        <f>SUMPRODUCT(M$14:M17,N$14:N17)+J17*N17+SUMPRODUCT(K$14:K17,N$14:N17)-SUMPRODUCT(T$14:T17,N$14:N17)</f>
        <v>1407.6138430037245</v>
      </c>
      <c r="G38" s="85">
        <f>SUMPRODUCT(M$14:M17,N$14:N17)+J17*N17+SUMPRODUCT(K$14:K17,N$14:N17)-SUMPRODUCT(U$14:U17,N$14:N17)</f>
        <v>1202.892855662169</v>
      </c>
      <c r="H38" s="85">
        <f>SUMPRODUCT(M$14:M17,N$14:N17)+J17*N17+SUMPRODUCT(K$14:K17,N$14:N17)-SUMPRODUCT(V$14:V17,N$14:N17)</f>
        <v>998.17186832061361</v>
      </c>
      <c r="I38" s="31"/>
      <c r="J38" s="31"/>
      <c r="K38" s="31"/>
      <c r="L38" s="31"/>
      <c r="M38" s="31"/>
      <c r="N38" s="31"/>
      <c r="O38" s="32"/>
      <c r="P38" s="31"/>
      <c r="Q38" s="31"/>
      <c r="R38" s="31"/>
      <c r="S38" s="31"/>
      <c r="T38" s="31"/>
      <c r="U38" s="31"/>
      <c r="V38" s="31"/>
      <c r="W38" s="70"/>
      <c r="X38" s="71"/>
      <c r="Y38" s="71"/>
      <c r="Z38" s="71"/>
      <c r="AA38" s="71"/>
      <c r="AB38" s="71"/>
      <c r="AC38" s="71"/>
      <c r="AD38" s="71"/>
      <c r="AE38" s="71"/>
      <c r="AF38" s="71"/>
      <c r="AG38" s="71"/>
      <c r="AH38" s="71"/>
      <c r="AI38" s="71"/>
      <c r="AJ38" s="71"/>
      <c r="AK38" s="71"/>
      <c r="AL38" s="71"/>
      <c r="AM38" s="71"/>
      <c r="AN38" s="71"/>
      <c r="AO38" s="71"/>
      <c r="AP38" s="71"/>
      <c r="AQ38" s="71"/>
      <c r="AR38" s="71"/>
      <c r="AS38" s="71"/>
    </row>
    <row r="39" spans="1:45" ht="21.95" customHeight="1">
      <c r="A39" s="31"/>
      <c r="B39" s="99">
        <f t="shared" si="28"/>
        <v>2020</v>
      </c>
      <c r="C39" s="99">
        <f t="shared" si="29"/>
        <v>5</v>
      </c>
      <c r="D39" s="102">
        <f>SUMPRODUCT(M$14:M18,N$14:N18)+J18*N18+SUMPRODUCT(K$14:K18,N$14:N18)-SUMPRODUCT(R$14:R18,N$14:N18)</f>
        <v>1853.328427319678</v>
      </c>
      <c r="E39" s="102">
        <f>SUMPRODUCT(M$14:M18,N$14:N18)+J18*N18+SUMPRODUCT(K$14:K18,N$14:N18)-SUMPRODUCT(S$14:S18,N$14:N18)</f>
        <v>1620.7990071832587</v>
      </c>
      <c r="F39" s="102">
        <f>SUMPRODUCT(M$14:M18,N$14:N18)+J18*N18+SUMPRODUCT(K$14:K18,N$14:N18)-SUMPRODUCT(T$14:T18,N$14:N18)</f>
        <v>1388.2695870468397</v>
      </c>
      <c r="G39" s="102">
        <f>SUMPRODUCT(M$14:M18,N$14:N18)+J18*N18+SUMPRODUCT(K$14:K18,N$14:N18)-SUMPRODUCT(U$14:U18,N$14:N18)</f>
        <v>1155.7401669104206</v>
      </c>
      <c r="H39" s="102">
        <f>SUMPRODUCT(M$14:M18,N$14:N18)+J18*N18+SUMPRODUCT(K$14:K18,N$14:N18)-SUMPRODUCT(V$14:V18,N$14:N18)</f>
        <v>923.21074677400156</v>
      </c>
      <c r="I39" s="31"/>
      <c r="J39" s="31"/>
      <c r="K39" s="31"/>
      <c r="L39" s="31"/>
      <c r="M39" s="31"/>
      <c r="N39" s="31"/>
      <c r="O39" s="32"/>
      <c r="P39" s="31"/>
      <c r="Q39" s="31"/>
      <c r="R39" s="31"/>
      <c r="S39" s="31"/>
      <c r="T39" s="31"/>
      <c r="U39" s="31"/>
      <c r="V39" s="31"/>
      <c r="W39" s="70"/>
      <c r="X39" s="71"/>
      <c r="Y39" s="71"/>
      <c r="Z39" s="71"/>
      <c r="AA39" s="71"/>
      <c r="AB39" s="71"/>
      <c r="AC39" s="71"/>
      <c r="AD39" s="71"/>
      <c r="AE39" s="71"/>
      <c r="AF39" s="71"/>
      <c r="AG39" s="71"/>
      <c r="AH39" s="71"/>
      <c r="AI39" s="71"/>
      <c r="AJ39" s="71"/>
      <c r="AK39" s="71"/>
      <c r="AL39" s="71"/>
      <c r="AM39" s="71"/>
      <c r="AN39" s="71"/>
      <c r="AO39" s="71"/>
      <c r="AP39" s="71"/>
      <c r="AQ39" s="71"/>
      <c r="AR39" s="71"/>
      <c r="AS39" s="71"/>
    </row>
    <row r="40" spans="1:45" ht="21.95" customHeight="1">
      <c r="A40" s="31"/>
      <c r="B40" s="83">
        <f t="shared" si="28"/>
        <v>2021</v>
      </c>
      <c r="C40" s="83">
        <f t="shared" si="29"/>
        <v>6</v>
      </c>
      <c r="D40" s="85">
        <f>SUMPRODUCT(M$14:M19,N$14:N19)+J19*N19+SUMPRODUCT(K$14:K19,N$14:N19)-SUMPRODUCT(R$14:R19,N$14:N19)</f>
        <v>1886.2916898626549</v>
      </c>
      <c r="E40" s="85">
        <f>SUMPRODUCT(M$14:M19,N$14:N19)+J19*N19+SUMPRODUCT(K$14:K19,N$14:N19)-SUMPRODUCT(S$14:S19,N$14:N19)</f>
        <v>1631.6849609180717</v>
      </c>
      <c r="F40" s="85">
        <f>SUMPRODUCT(M$14:M19,N$14:N19)+J19*N19+SUMPRODUCT(K$14:K19,N$14:N19)-SUMPRODUCT(T$14:T19,N$14:N19)</f>
        <v>1377.0782319734885</v>
      </c>
      <c r="G40" s="85">
        <f>SUMPRODUCT(M$14:M19,N$14:N19)+J19*N19+SUMPRODUCT(K$14:K19,N$14:N19)-SUMPRODUCT(U$14:U19,N$14:N19)</f>
        <v>1122.4715030289053</v>
      </c>
      <c r="H40" s="85">
        <f>SUMPRODUCT(M$14:M19,N$14:N19)+J19*N19+SUMPRODUCT(K$14:K19,N$14:N19)-SUMPRODUCT(V$14:V19,N$14:N19)</f>
        <v>867.86477408432211</v>
      </c>
      <c r="I40" s="31"/>
      <c r="J40" s="31"/>
      <c r="K40" s="31"/>
      <c r="L40" s="31"/>
      <c r="M40" s="31"/>
      <c r="N40" s="31"/>
      <c r="O40" s="32"/>
      <c r="P40" s="31"/>
      <c r="Q40" s="31"/>
      <c r="R40" s="31"/>
      <c r="S40" s="31"/>
      <c r="T40" s="31"/>
      <c r="U40" s="31"/>
      <c r="V40" s="31"/>
      <c r="W40" s="70"/>
      <c r="X40" s="71"/>
      <c r="Y40" s="71"/>
      <c r="Z40" s="71"/>
      <c r="AA40" s="71"/>
      <c r="AB40" s="71"/>
      <c r="AC40" s="71"/>
      <c r="AD40" s="71"/>
      <c r="AE40" s="71"/>
      <c r="AF40" s="71"/>
      <c r="AG40" s="71"/>
      <c r="AH40" s="71"/>
      <c r="AI40" s="71"/>
      <c r="AJ40" s="71"/>
      <c r="AK40" s="71"/>
      <c r="AL40" s="71"/>
      <c r="AM40" s="71"/>
      <c r="AN40" s="71"/>
      <c r="AO40" s="71"/>
      <c r="AP40" s="71"/>
      <c r="AQ40" s="71"/>
      <c r="AR40" s="71"/>
      <c r="AS40" s="71"/>
    </row>
    <row r="41" spans="1:45" ht="21.95" customHeight="1">
      <c r="A41" s="31"/>
      <c r="B41" s="99">
        <f t="shared" si="28"/>
        <v>2022</v>
      </c>
      <c r="C41" s="99">
        <f t="shared" si="29"/>
        <v>7</v>
      </c>
      <c r="D41" s="102">
        <f>SUMPRODUCT(M$14:M20,N$14:N20)+J20*N20+SUMPRODUCT(K$14:K20,N$14:N20)-SUMPRODUCT(R$14:R20,N$14:N20)</f>
        <v>1904.9545919572761</v>
      </c>
      <c r="E41" s="102">
        <f>SUMPRODUCT(M$14:M20,N$14:N20)+J20*N20+SUMPRODUCT(K$14:K20,N$14:N20)-SUMPRODUCT(S$14:S20,N$14:N20)</f>
        <v>1632.8205335221555</v>
      </c>
      <c r="F41" s="102">
        <f>SUMPRODUCT(M$14:M20,N$14:N20)+J20*N20+SUMPRODUCT(K$14:K20,N$14:N20)-SUMPRODUCT(T$14:T20,N$14:N20)</f>
        <v>1360.686475087035</v>
      </c>
      <c r="G41" s="102">
        <f>SUMPRODUCT(M$14:M20,N$14:N20)+J20*N20+SUMPRODUCT(K$14:K20,N$14:N20)-SUMPRODUCT(U$14:U20,N$14:N20)</f>
        <v>1088.5524166519144</v>
      </c>
      <c r="H41" s="102">
        <f>SUMPRODUCT(M$14:M20,N$14:N20)+J20*N20+SUMPRODUCT(K$14:K20,N$14:N20)-SUMPRODUCT(V$14:V20,N$14:N20)</f>
        <v>816.41835821679388</v>
      </c>
      <c r="I41" s="31"/>
      <c r="J41" s="31"/>
      <c r="K41" s="31"/>
      <c r="L41" s="31"/>
      <c r="M41" s="31"/>
      <c r="N41" s="31"/>
      <c r="O41" s="31"/>
      <c r="P41" s="31"/>
      <c r="Q41" s="31"/>
      <c r="R41" s="31"/>
      <c r="S41" s="31"/>
      <c r="T41" s="31"/>
      <c r="U41" s="31"/>
      <c r="V41" s="31"/>
      <c r="W41" s="70"/>
      <c r="X41" s="71"/>
      <c r="Y41" s="71"/>
      <c r="Z41" s="71"/>
      <c r="AA41" s="71"/>
      <c r="AB41" s="71"/>
      <c r="AC41" s="71"/>
      <c r="AD41" s="71"/>
      <c r="AE41" s="71"/>
      <c r="AF41" s="71"/>
      <c r="AG41" s="71"/>
      <c r="AH41" s="71"/>
      <c r="AI41" s="71"/>
      <c r="AJ41" s="71"/>
      <c r="AK41" s="71"/>
      <c r="AL41" s="71"/>
      <c r="AM41" s="71"/>
      <c r="AN41" s="71"/>
      <c r="AO41" s="71"/>
      <c r="AP41" s="71"/>
      <c r="AQ41" s="71"/>
      <c r="AR41" s="71"/>
      <c r="AS41" s="71"/>
    </row>
    <row r="42" spans="1:45" ht="21.95" customHeight="1">
      <c r="A42" s="31"/>
      <c r="B42" s="83">
        <f t="shared" si="28"/>
        <v>2023</v>
      </c>
      <c r="C42" s="83">
        <f t="shared" si="29"/>
        <v>8</v>
      </c>
      <c r="D42" s="85">
        <f>SUMPRODUCT(M$14:M21,N$14:N21)+J21*N21+SUMPRODUCT(K$14:K21,N$14:N21)-SUMPRODUCT(R$14:R21,N$14:N21)</f>
        <v>1918.0753062652875</v>
      </c>
      <c r="E42" s="85">
        <f>SUMPRODUCT(M$14:M21,N$14:N21)+J21*N21+SUMPRODUCT(K$14:K21,N$14:N21)-SUMPRODUCT(S$14:S21,N$14:N21)</f>
        <v>1632.0261786639353</v>
      </c>
      <c r="F42" s="85">
        <f>SUMPRODUCT(M$14:M21,N$14:N21)+J21*N21+SUMPRODUCT(K$14:K21,N$14:N21)-SUMPRODUCT(T$14:T21,N$14:N21)</f>
        <v>1345.9770510625831</v>
      </c>
      <c r="G42" s="85">
        <f>SUMPRODUCT(M$14:M21,N$14:N21)+J21*N21+SUMPRODUCT(K$14:K21,N$14:N21)-SUMPRODUCT(U$14:U21,N$14:N21)</f>
        <v>1059.9279234612309</v>
      </c>
      <c r="H42" s="85">
        <f>SUMPRODUCT(M$14:M21,N$14:N21)+J21*N21+SUMPRODUCT(K$14:K21,N$14:N21)-SUMPRODUCT(V$14:V21,N$14:N21)</f>
        <v>773.87879585987866</v>
      </c>
      <c r="I42" s="31"/>
      <c r="J42" s="31"/>
      <c r="K42" s="31"/>
      <c r="L42" s="31"/>
      <c r="M42" s="31"/>
      <c r="N42" s="31"/>
      <c r="O42" s="31"/>
      <c r="P42" s="31"/>
      <c r="Q42" s="31"/>
      <c r="R42" s="31"/>
      <c r="S42" s="31"/>
      <c r="T42" s="31"/>
      <c r="U42" s="31"/>
      <c r="V42" s="31"/>
      <c r="W42" s="70"/>
      <c r="X42" s="71"/>
      <c r="Y42" s="71"/>
      <c r="Z42" s="71"/>
      <c r="AA42" s="71"/>
      <c r="AB42" s="71"/>
      <c r="AC42" s="71"/>
      <c r="AD42" s="71"/>
      <c r="AE42" s="71"/>
      <c r="AF42" s="71"/>
      <c r="AG42" s="71"/>
      <c r="AH42" s="71"/>
      <c r="AI42" s="71"/>
      <c r="AJ42" s="71"/>
      <c r="AK42" s="71"/>
      <c r="AL42" s="71"/>
      <c r="AM42" s="71"/>
      <c r="AN42" s="71"/>
      <c r="AO42" s="71"/>
      <c r="AP42" s="71"/>
      <c r="AQ42" s="71"/>
      <c r="AR42" s="71"/>
      <c r="AS42" s="71"/>
    </row>
    <row r="43" spans="1:45" ht="21.95" customHeight="1">
      <c r="A43" s="31"/>
      <c r="B43" s="99">
        <f t="shared" si="28"/>
        <v>2024</v>
      </c>
      <c r="C43" s="99">
        <f t="shared" si="29"/>
        <v>9</v>
      </c>
      <c r="D43" s="102">
        <f>SUMPRODUCT(M$14:M22,N$14:N22)+J22*N22+SUMPRODUCT(K$14:K22,N$14:N22)-SUMPRODUCT(R$14:R22,N$14:N22)</f>
        <v>1929.7423259675375</v>
      </c>
      <c r="E43" s="102">
        <f>SUMPRODUCT(M$14:M22,N$14:N22)+J22*N22+SUMPRODUCT(K$14:K22,N$14:N22)-SUMPRODUCT(S$14:S22,N$14:N22)</f>
        <v>1632.6459278732364</v>
      </c>
      <c r="F43" s="102">
        <f>SUMPRODUCT(M$14:M22,N$14:N22)+J22*N22+SUMPRODUCT(K$14:K22,N$14:N22)-SUMPRODUCT(T$14:T22,N$14:N22)</f>
        <v>1335.5495297789348</v>
      </c>
      <c r="G43" s="102">
        <f>SUMPRODUCT(M$14:M22,N$14:N22)+J22*N22+SUMPRODUCT(K$14:K22,N$14:N22)-SUMPRODUCT(U$14:U22,N$14:N22)</f>
        <v>1038.4531316846333</v>
      </c>
      <c r="H43" s="102">
        <f>SUMPRODUCT(M$14:M22,N$14:N22)+J22*N22+SUMPRODUCT(K$14:K22,N$14:N22)-SUMPRODUCT(V$14:V22,N$14:N22)</f>
        <v>741.35673359033171</v>
      </c>
      <c r="I43" s="31"/>
      <c r="J43" s="31"/>
      <c r="K43" s="31"/>
      <c r="L43" s="31"/>
      <c r="M43" s="31"/>
      <c r="N43" s="31"/>
      <c r="O43" s="31"/>
      <c r="P43" s="31"/>
      <c r="Q43" s="31"/>
      <c r="R43" s="31"/>
      <c r="S43" s="31"/>
      <c r="T43" s="31"/>
      <c r="U43" s="31"/>
      <c r="V43" s="31"/>
      <c r="W43" s="70"/>
      <c r="X43" s="71"/>
      <c r="Y43" s="71"/>
      <c r="Z43" s="71"/>
      <c r="AA43" s="71"/>
      <c r="AB43" s="71"/>
      <c r="AC43" s="71"/>
      <c r="AD43" s="71"/>
      <c r="AE43" s="71"/>
      <c r="AF43" s="71"/>
      <c r="AG43" s="71"/>
      <c r="AH43" s="71"/>
      <c r="AI43" s="71"/>
      <c r="AJ43" s="71"/>
      <c r="AK43" s="71"/>
      <c r="AL43" s="71"/>
      <c r="AM43" s="71"/>
      <c r="AN43" s="71"/>
      <c r="AO43" s="71"/>
      <c r="AP43" s="71"/>
      <c r="AQ43" s="71"/>
      <c r="AR43" s="71"/>
      <c r="AS43" s="71"/>
    </row>
    <row r="44" spans="1:45" ht="21.95" customHeight="1" thickBot="1">
      <c r="A44" s="31"/>
      <c r="B44" s="123">
        <f t="shared" si="28"/>
        <v>2025</v>
      </c>
      <c r="C44" s="123">
        <f t="shared" si="29"/>
        <v>10</v>
      </c>
      <c r="D44" s="125">
        <f>SUMPRODUCT(M$14:M23,N$14:N23)+J23*N23+SUMPRODUCT(K$14:K23,N$14:N23)-SUMPRODUCT(R$14:R23,N$14:N23)</f>
        <v>1938.4074970766237</v>
      </c>
      <c r="E44" s="125">
        <f>SUMPRODUCT(M$14:M23,N$14:N23)+J23*N23+SUMPRODUCT(K$14:K23,N$14:N23)-SUMPRODUCT(S$14:S23,N$14:N23)</f>
        <v>1632.5405938639901</v>
      </c>
      <c r="F44" s="125">
        <f>SUMPRODUCT(M$14:M23,N$14:N23)+J23*N23+SUMPRODUCT(K$14:K23,N$14:N23)-SUMPRODUCT(T$14:T23,N$14:N23)</f>
        <v>1326.6736906513561</v>
      </c>
      <c r="G44" s="125">
        <f>SUMPRODUCT(M$14:M23,N$14:N23)+J23*N23+SUMPRODUCT(K$14:K23,N$14:N23)-SUMPRODUCT(U$14:U23,N$14:N23)</f>
        <v>1020.8067874387216</v>
      </c>
      <c r="H44" s="125">
        <f>SUMPRODUCT(M$14:M23,N$14:N23)+J23*N23+SUMPRODUCT(K$14:K23,N$14:N23)-SUMPRODUCT(V$14:V23,N$14:N23)</f>
        <v>714.93988422608754</v>
      </c>
      <c r="I44" s="31"/>
      <c r="J44" s="31"/>
      <c r="K44" s="31"/>
      <c r="L44" s="31"/>
      <c r="M44" s="31"/>
      <c r="N44" s="31"/>
      <c r="O44" s="31"/>
      <c r="P44" s="31"/>
      <c r="Q44" s="31"/>
      <c r="R44" s="31"/>
      <c r="S44" s="31"/>
      <c r="T44" s="31"/>
      <c r="U44" s="31"/>
      <c r="V44" s="31"/>
      <c r="W44" s="70"/>
      <c r="X44" s="71"/>
      <c r="Y44" s="71"/>
      <c r="Z44" s="71"/>
      <c r="AA44" s="71"/>
      <c r="AB44" s="71"/>
      <c r="AC44" s="71"/>
      <c r="AD44" s="71"/>
      <c r="AE44" s="71"/>
      <c r="AF44" s="71"/>
      <c r="AG44" s="71"/>
      <c r="AH44" s="71"/>
      <c r="AI44" s="71"/>
      <c r="AJ44" s="71"/>
      <c r="AK44" s="71"/>
      <c r="AL44" s="71"/>
      <c r="AM44" s="71"/>
      <c r="AN44" s="71"/>
      <c r="AO44" s="71"/>
      <c r="AP44" s="71"/>
      <c r="AQ44" s="71"/>
      <c r="AR44" s="71"/>
      <c r="AS44" s="71"/>
    </row>
    <row r="45" spans="1:45">
      <c r="A45" s="31"/>
      <c r="B45" s="98" t="s">
        <v>30</v>
      </c>
      <c r="C45" s="31"/>
      <c r="D45" s="31"/>
      <c r="E45" s="31"/>
      <c r="F45" s="31"/>
      <c r="G45" s="31"/>
      <c r="H45" s="31"/>
      <c r="I45" s="31"/>
      <c r="J45" s="31"/>
      <c r="K45" s="31"/>
      <c r="L45" s="31"/>
      <c r="M45" s="31"/>
      <c r="N45" s="31"/>
      <c r="O45" s="31"/>
      <c r="P45" s="31"/>
      <c r="Q45" s="31"/>
      <c r="R45" s="31"/>
      <c r="S45" s="31"/>
      <c r="T45" s="31"/>
      <c r="U45" s="31"/>
      <c r="V45" s="31"/>
      <c r="W45" s="70"/>
      <c r="X45" s="71"/>
      <c r="Y45" s="71"/>
      <c r="Z45" s="71"/>
      <c r="AA45" s="71"/>
      <c r="AB45" s="71"/>
      <c r="AC45" s="71"/>
      <c r="AD45" s="71"/>
      <c r="AE45" s="71"/>
      <c r="AF45" s="71"/>
      <c r="AG45" s="71"/>
      <c r="AH45" s="71"/>
      <c r="AI45" s="71"/>
      <c r="AJ45" s="71"/>
      <c r="AK45" s="71"/>
      <c r="AL45" s="71"/>
      <c r="AM45" s="71"/>
      <c r="AN45" s="71"/>
      <c r="AO45" s="71"/>
      <c r="AP45" s="71"/>
      <c r="AQ45" s="71"/>
      <c r="AR45" s="71"/>
      <c r="AS45" s="71"/>
    </row>
    <row r="46" spans="1:45">
      <c r="A46" s="31"/>
      <c r="B46" s="45" t="s">
        <v>44</v>
      </c>
      <c r="C46" s="31"/>
      <c r="D46" s="31"/>
      <c r="E46" s="31"/>
      <c r="F46" s="31"/>
      <c r="G46" s="31"/>
      <c r="H46" s="26">
        <f>G7*0.1</f>
        <v>70</v>
      </c>
      <c r="I46" s="31"/>
      <c r="J46" s="31"/>
      <c r="K46" s="31"/>
      <c r="L46" s="31"/>
      <c r="M46" s="31"/>
      <c r="N46" s="31"/>
      <c r="O46" s="31"/>
      <c r="P46" s="31"/>
      <c r="Q46" s="31"/>
      <c r="R46" s="31"/>
      <c r="S46" s="31"/>
      <c r="T46" s="31"/>
      <c r="U46" s="31"/>
      <c r="V46" s="31"/>
      <c r="W46" s="70"/>
      <c r="X46" s="71"/>
      <c r="Y46" s="71"/>
      <c r="Z46" s="71"/>
      <c r="AA46" s="71"/>
      <c r="AB46" s="71"/>
      <c r="AC46" s="71"/>
      <c r="AD46" s="71"/>
      <c r="AE46" s="71"/>
      <c r="AF46" s="71"/>
      <c r="AG46" s="71"/>
      <c r="AH46" s="71"/>
      <c r="AI46" s="71"/>
      <c r="AJ46" s="71"/>
      <c r="AK46" s="71"/>
      <c r="AL46" s="71"/>
      <c r="AM46" s="71"/>
      <c r="AN46" s="71"/>
      <c r="AO46" s="71"/>
      <c r="AP46" s="71"/>
      <c r="AQ46" s="71"/>
      <c r="AR46" s="71"/>
      <c r="AS46" s="71"/>
    </row>
    <row r="47" spans="1:45" ht="15.75" thickBot="1">
      <c r="A47" s="70"/>
      <c r="B47" s="31"/>
      <c r="C47" s="31"/>
      <c r="D47" s="31"/>
      <c r="E47" s="31"/>
      <c r="F47" s="31"/>
      <c r="G47" s="31"/>
      <c r="H47" s="31"/>
      <c r="I47" s="70"/>
      <c r="J47" s="70"/>
      <c r="K47" s="70"/>
      <c r="L47" s="70"/>
      <c r="M47" s="70"/>
      <c r="N47" s="70"/>
      <c r="O47" s="70"/>
      <c r="P47" s="70"/>
      <c r="Q47" s="70"/>
      <c r="R47" s="70"/>
      <c r="S47" s="70"/>
      <c r="T47" s="70"/>
      <c r="U47" s="70"/>
      <c r="V47" s="70"/>
      <c r="W47" s="70"/>
      <c r="X47" s="71"/>
      <c r="Y47" s="71"/>
      <c r="Z47" s="71"/>
      <c r="AA47" s="71"/>
      <c r="AB47" s="71"/>
      <c r="AC47" s="71"/>
      <c r="AD47" s="71"/>
      <c r="AE47" s="71"/>
      <c r="AF47" s="71"/>
      <c r="AG47" s="71"/>
      <c r="AH47" s="71"/>
      <c r="AI47" s="71"/>
      <c r="AJ47" s="71"/>
      <c r="AK47" s="71"/>
      <c r="AL47" s="71"/>
      <c r="AM47" s="71"/>
      <c r="AN47" s="71"/>
      <c r="AO47" s="71"/>
      <c r="AP47" s="71"/>
      <c r="AQ47" s="71"/>
      <c r="AR47" s="71"/>
      <c r="AS47" s="71"/>
    </row>
    <row r="48" spans="1:45">
      <c r="A48" s="70"/>
      <c r="B48" s="72" t="s">
        <v>50</v>
      </c>
      <c r="C48" s="58"/>
      <c r="D48" s="58"/>
      <c r="E48" s="58"/>
      <c r="F48" s="58"/>
      <c r="G48" s="58"/>
      <c r="H48" s="59"/>
      <c r="I48" s="70"/>
      <c r="J48" s="70"/>
      <c r="K48" s="70"/>
      <c r="L48" s="70"/>
      <c r="M48" s="70"/>
      <c r="N48" s="70"/>
      <c r="O48" s="70"/>
      <c r="Q48" s="70"/>
      <c r="R48" s="70"/>
      <c r="S48" s="70"/>
      <c r="T48" s="70"/>
      <c r="U48" s="70"/>
      <c r="V48" s="70"/>
      <c r="W48" s="70"/>
      <c r="X48" s="71"/>
      <c r="Y48" s="71"/>
      <c r="Z48" s="71"/>
      <c r="AA48" s="71"/>
      <c r="AB48" s="71"/>
      <c r="AC48" s="71"/>
      <c r="AD48" s="71"/>
      <c r="AE48" s="71"/>
      <c r="AF48" s="71"/>
      <c r="AG48" s="71"/>
      <c r="AH48" s="71"/>
      <c r="AI48" s="71"/>
      <c r="AJ48" s="71"/>
      <c r="AK48" s="71"/>
      <c r="AL48" s="71"/>
      <c r="AM48" s="71"/>
      <c r="AN48" s="71"/>
      <c r="AO48" s="71"/>
      <c r="AP48" s="71"/>
      <c r="AQ48" s="71"/>
      <c r="AR48" s="71"/>
      <c r="AS48" s="71"/>
    </row>
    <row r="49" spans="1:45">
      <c r="A49" s="71"/>
      <c r="B49" s="73"/>
      <c r="C49" s="74"/>
      <c r="D49" s="75" t="s">
        <v>2</v>
      </c>
      <c r="E49" s="75"/>
      <c r="F49" s="75"/>
      <c r="G49" s="75"/>
      <c r="H49" s="76"/>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row>
    <row r="50" spans="1:45">
      <c r="A50" s="71"/>
      <c r="B50" s="77" t="s">
        <v>51</v>
      </c>
      <c r="C50" s="78"/>
      <c r="D50" s="60">
        <f>D33</f>
        <v>560</v>
      </c>
      <c r="E50" s="60">
        <f>E33</f>
        <v>630</v>
      </c>
      <c r="F50" s="60">
        <f>F33</f>
        <v>700</v>
      </c>
      <c r="G50" s="60">
        <f>G33</f>
        <v>770</v>
      </c>
      <c r="H50" s="61">
        <f>H33</f>
        <v>840</v>
      </c>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row>
    <row r="51" spans="1:45" ht="17.45" customHeight="1">
      <c r="A51" s="71"/>
      <c r="B51" s="66">
        <v>4</v>
      </c>
      <c r="C51" s="68" t="str">
        <f>B51&amp;" calves"</f>
        <v>4 calves</v>
      </c>
      <c r="D51" s="62">
        <f>VLOOKUP($B51,$C$35:$H$44,2)</f>
        <v>1817.0558176868353</v>
      </c>
      <c r="E51" s="62">
        <f>VLOOKUP($B51,$C$35:$H$44,3)</f>
        <v>1612.3348303452797</v>
      </c>
      <c r="F51" s="62">
        <f>VLOOKUP($B51,$C$35:$H$44,4)</f>
        <v>1407.6138430037245</v>
      </c>
      <c r="G51" s="62">
        <f>VLOOKUP($B51,$C$35:$H$44,5)</f>
        <v>1202.892855662169</v>
      </c>
      <c r="H51" s="63">
        <f>VLOOKUP($B51,$C$35:$H$44,6)</f>
        <v>998.17186832061361</v>
      </c>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row>
    <row r="52" spans="1:45" ht="17.45" customHeight="1">
      <c r="A52" s="71"/>
      <c r="B52" s="79">
        <v>7</v>
      </c>
      <c r="C52" s="80" t="str">
        <f>B52&amp;" calves"</f>
        <v>7 calves</v>
      </c>
      <c r="D52" s="81">
        <f>VLOOKUP($B52,$C$35:$H$44,2)</f>
        <v>1904.9545919572761</v>
      </c>
      <c r="E52" s="81">
        <f>VLOOKUP($B52,$C$35:$H$44,3)</f>
        <v>1632.8205335221555</v>
      </c>
      <c r="F52" s="81">
        <f>VLOOKUP($B52,$C$35:$H$44,4)</f>
        <v>1360.686475087035</v>
      </c>
      <c r="G52" s="81">
        <f>VLOOKUP($B52,$C$35:$H$44,5)</f>
        <v>1088.5524166519144</v>
      </c>
      <c r="H52" s="82">
        <f>VLOOKUP($B52,$C$35:$H$44,6)</f>
        <v>816.41835821679388</v>
      </c>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row>
    <row r="53" spans="1:45" ht="17.45" customHeight="1" thickBot="1">
      <c r="A53" s="71"/>
      <c r="B53" s="67">
        <v>10</v>
      </c>
      <c r="C53" s="69" t="str">
        <f>B53&amp;" calves"</f>
        <v>10 calves</v>
      </c>
      <c r="D53" s="64">
        <f>VLOOKUP($B53,$C$35:$H$44,2)</f>
        <v>1938.4074970766237</v>
      </c>
      <c r="E53" s="64">
        <f>VLOOKUP($B53,$C$35:$H$44,3)</f>
        <v>1632.5405938639901</v>
      </c>
      <c r="F53" s="64">
        <f>VLOOKUP($B53,$C$35:$H$44,4)</f>
        <v>1326.6736906513561</v>
      </c>
      <c r="G53" s="64">
        <f>VLOOKUP($B53,$C$35:$H$44,5)</f>
        <v>1020.8067874387216</v>
      </c>
      <c r="H53" s="65">
        <f>VLOOKUP($B53,$C$35:$H$44,6)</f>
        <v>714.93988422608754</v>
      </c>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row>
    <row r="54" spans="1:4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row>
    <row r="55" spans="1:4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row>
    <row r="56" spans="1:45">
      <c r="A56" s="31"/>
      <c r="B56" s="31"/>
      <c r="C56" s="31"/>
      <c r="D56" s="31"/>
      <c r="E56" s="31"/>
      <c r="F56" s="31"/>
      <c r="G56" s="31"/>
      <c r="H56" s="31"/>
      <c r="I56" s="31"/>
      <c r="J56" s="31"/>
      <c r="K56" s="31"/>
      <c r="L56" s="31"/>
      <c r="M56" s="31"/>
      <c r="N56" s="31"/>
      <c r="O56" s="32"/>
      <c r="P56" s="31"/>
      <c r="Q56" s="31"/>
      <c r="R56" s="31"/>
      <c r="S56" s="31"/>
      <c r="T56" s="31"/>
      <c r="U56" s="31"/>
      <c r="V56" s="31"/>
      <c r="W56" s="70"/>
      <c r="X56" s="70"/>
      <c r="Y56" s="70"/>
      <c r="Z56" s="70"/>
      <c r="AA56" s="70"/>
      <c r="AB56" s="70"/>
      <c r="AC56" s="71"/>
      <c r="AD56" s="70"/>
      <c r="AE56" s="70"/>
      <c r="AF56" s="70"/>
      <c r="AG56" s="70"/>
      <c r="AH56" s="70"/>
      <c r="AI56" s="71"/>
      <c r="AJ56" s="71"/>
      <c r="AK56" s="71"/>
      <c r="AL56" s="71"/>
      <c r="AM56" s="71"/>
      <c r="AN56" s="71"/>
      <c r="AO56" s="71"/>
      <c r="AP56" s="71"/>
      <c r="AQ56" s="71"/>
      <c r="AR56" s="71"/>
      <c r="AS56" s="71"/>
    </row>
    <row r="57" spans="1:45" ht="15.75" thickBot="1">
      <c r="A57" s="31"/>
      <c r="B57" s="43" t="s">
        <v>56</v>
      </c>
      <c r="C57" s="43"/>
      <c r="D57" s="42"/>
      <c r="E57" s="42"/>
      <c r="F57" s="42"/>
      <c r="G57" s="42"/>
      <c r="H57" s="31"/>
      <c r="I57" s="31"/>
      <c r="J57" s="31"/>
      <c r="K57" s="31"/>
      <c r="L57" s="31"/>
      <c r="M57" s="31"/>
      <c r="N57" s="31"/>
      <c r="O57" s="32"/>
      <c r="P57" s="31"/>
      <c r="Q57" s="31"/>
      <c r="R57" s="31"/>
      <c r="S57" s="31"/>
      <c r="T57" s="31"/>
      <c r="U57" s="31"/>
      <c r="V57" s="31"/>
      <c r="W57" s="70"/>
      <c r="X57" s="70"/>
      <c r="Y57" s="70"/>
      <c r="Z57" s="70"/>
      <c r="AA57" s="70"/>
      <c r="AB57" s="70"/>
      <c r="AC57" s="71"/>
      <c r="AD57" s="70"/>
      <c r="AE57" s="70"/>
      <c r="AF57" s="70"/>
      <c r="AG57" s="70"/>
      <c r="AH57" s="70"/>
      <c r="AI57" s="71"/>
      <c r="AJ57" s="71"/>
      <c r="AK57" s="71"/>
      <c r="AL57" s="71"/>
      <c r="AM57" s="71"/>
      <c r="AN57" s="71"/>
      <c r="AO57" s="71"/>
      <c r="AP57" s="71"/>
      <c r="AQ57" s="71"/>
      <c r="AR57" s="71"/>
      <c r="AS57" s="71"/>
    </row>
    <row r="58" spans="1:45">
      <c r="A58" s="31"/>
      <c r="B58" s="56"/>
      <c r="C58" s="56"/>
      <c r="D58" s="57" t="s">
        <v>55</v>
      </c>
      <c r="E58" s="44"/>
      <c r="F58" s="44"/>
      <c r="G58" s="44"/>
      <c r="H58" s="44"/>
      <c r="I58" s="31"/>
      <c r="J58" s="31"/>
      <c r="K58" s="31"/>
      <c r="L58" s="31"/>
      <c r="M58" s="31"/>
      <c r="N58" s="31"/>
      <c r="O58" s="32"/>
      <c r="P58" s="31"/>
      <c r="Q58" s="31"/>
      <c r="R58" s="31"/>
      <c r="S58" s="31"/>
      <c r="T58" s="31"/>
      <c r="U58" s="31"/>
      <c r="V58" s="31"/>
      <c r="W58" s="70"/>
      <c r="X58" s="70"/>
      <c r="Y58" s="70"/>
      <c r="Z58" s="70"/>
      <c r="AA58" s="70"/>
      <c r="AB58" s="70"/>
      <c r="AC58" s="71"/>
      <c r="AD58" s="70"/>
      <c r="AE58" s="70"/>
      <c r="AF58" s="70"/>
      <c r="AG58" s="70"/>
      <c r="AH58" s="70"/>
      <c r="AI58" s="71"/>
      <c r="AJ58" s="71"/>
      <c r="AK58" s="71"/>
      <c r="AL58" s="71"/>
      <c r="AM58" s="71"/>
      <c r="AN58" s="71"/>
      <c r="AO58" s="71"/>
      <c r="AP58" s="71"/>
      <c r="AQ58" s="71"/>
      <c r="AR58" s="71"/>
      <c r="AS58" s="71"/>
    </row>
    <row r="59" spans="1:45">
      <c r="A59" s="31"/>
      <c r="B59" s="31"/>
      <c r="C59" s="31"/>
      <c r="D59" s="112">
        <f>E59-H72</f>
        <v>0.1</v>
      </c>
      <c r="E59" s="112">
        <f>F59-H72</f>
        <v>0.125</v>
      </c>
      <c r="F59" s="112">
        <f>N5</f>
        <v>0.15</v>
      </c>
      <c r="G59" s="112">
        <f>F59+H72</f>
        <v>0.17499999999999999</v>
      </c>
      <c r="H59" s="112">
        <f>G59+H72</f>
        <v>0.19999999999999998</v>
      </c>
      <c r="I59" s="31"/>
      <c r="J59" s="31"/>
      <c r="K59" s="31"/>
      <c r="L59" s="31"/>
      <c r="M59" s="31"/>
      <c r="N59" s="31"/>
      <c r="O59" s="32"/>
      <c r="P59" s="31"/>
      <c r="Q59" s="31"/>
      <c r="R59" s="31"/>
      <c r="S59" s="31"/>
      <c r="T59" s="31"/>
      <c r="U59" s="31"/>
      <c r="V59" s="31"/>
      <c r="W59" s="70"/>
      <c r="X59" s="70"/>
      <c r="Y59" s="70"/>
      <c r="Z59" s="70"/>
      <c r="AA59" s="70"/>
      <c r="AB59" s="70"/>
      <c r="AC59" s="71"/>
      <c r="AD59" s="70"/>
      <c r="AE59" s="70"/>
      <c r="AF59" s="70"/>
      <c r="AG59" s="70"/>
      <c r="AH59" s="70"/>
      <c r="AI59" s="71"/>
      <c r="AJ59" s="71"/>
      <c r="AK59" s="71"/>
      <c r="AL59" s="71"/>
      <c r="AM59" s="71"/>
      <c r="AN59" s="71"/>
      <c r="AO59" s="71"/>
      <c r="AP59" s="71"/>
      <c r="AQ59" s="71"/>
      <c r="AR59" s="71"/>
      <c r="AS59" s="71"/>
    </row>
    <row r="60" spans="1:45">
      <c r="A60" s="31"/>
      <c r="B60" s="50" t="s">
        <v>5</v>
      </c>
      <c r="C60" s="50" t="s">
        <v>3</v>
      </c>
      <c r="D60" s="51" t="s">
        <v>29</v>
      </c>
      <c r="E60" s="51" t="s">
        <v>29</v>
      </c>
      <c r="F60" s="51" t="s">
        <v>29</v>
      </c>
      <c r="G60" s="51" t="s">
        <v>29</v>
      </c>
      <c r="H60" s="51" t="s">
        <v>29</v>
      </c>
      <c r="I60" s="31"/>
      <c r="J60" s="31"/>
      <c r="K60" s="31"/>
      <c r="L60" s="31"/>
      <c r="M60" s="31"/>
      <c r="N60" s="31"/>
      <c r="O60" s="32"/>
      <c r="P60" s="31"/>
      <c r="Q60" s="31"/>
      <c r="R60" s="31"/>
      <c r="S60" s="31"/>
      <c r="T60" s="31"/>
      <c r="U60" s="31"/>
      <c r="V60" s="31"/>
      <c r="W60" s="70"/>
      <c r="X60" s="70"/>
      <c r="Y60" s="70"/>
      <c r="Z60" s="70"/>
      <c r="AA60" s="70"/>
      <c r="AB60" s="70"/>
      <c r="AC60" s="71"/>
      <c r="AD60" s="70"/>
      <c r="AE60" s="70"/>
      <c r="AF60" s="70"/>
      <c r="AG60" s="70"/>
      <c r="AH60" s="70"/>
      <c r="AI60" s="71"/>
      <c r="AJ60" s="71"/>
      <c r="AK60" s="71"/>
      <c r="AL60" s="71"/>
      <c r="AM60" s="71"/>
      <c r="AN60" s="71"/>
      <c r="AO60" s="71"/>
      <c r="AP60" s="71"/>
      <c r="AQ60" s="71"/>
      <c r="AR60" s="71"/>
      <c r="AS60" s="71"/>
    </row>
    <row r="61" spans="1:45" ht="21.95" customHeight="1">
      <c r="A61" s="31"/>
      <c r="B61" s="100">
        <f>B14</f>
        <v>2016</v>
      </c>
      <c r="C61" s="100">
        <f>D14</f>
        <v>1</v>
      </c>
      <c r="D61" s="101">
        <f>SUMPRODUCT(AD$14:AD14,N$14:N14)+IF(B14&gt;=G$5,G$6*G14/100*(X14*(1-N$4-X$12))/G$3,0)*N14</f>
        <v>1492.1040576400001</v>
      </c>
      <c r="E61" s="101">
        <f>SUMPRODUCT(AE$14:AE14,N$14:N14)+IF(B14&gt;=G$5,G$6*G14/100*(Y14*(1-N$4-Y$12))/G$3,0)*N14</f>
        <v>1492.1040576400001</v>
      </c>
      <c r="F61" s="101">
        <f>SUMPRODUCT(AF$14:AF14,N$14:N14)+IF(B14&gt;=G$5,G$6*G14/100*(Z14*(1-N$4-Z$12))/G$3,0)*N14</f>
        <v>1492.1040576400001</v>
      </c>
      <c r="G61" s="101">
        <f>SUMPRODUCT(AG$14:AG14,N$14:N14)+IF(B14&gt;=G$5,G$6*G14/100*(AA14*(1-N$4-AA$12))/G$3,0)*N14</f>
        <v>1492.1040576400001</v>
      </c>
      <c r="H61" s="101">
        <f>SUMPRODUCT(AH$14:AH14,N$14:N14)+IF(B14&gt;=G$5,G$6*G14/100*(AB14*(1-N$4-AB$12))/G$3,0)*N14</f>
        <v>1492.1040576400001</v>
      </c>
      <c r="I61" s="31"/>
      <c r="J61" s="31"/>
      <c r="K61" s="31"/>
      <c r="L61" s="31"/>
      <c r="M61" s="31"/>
      <c r="N61" s="31"/>
      <c r="O61" s="32"/>
      <c r="P61" s="31"/>
      <c r="Q61" s="31"/>
      <c r="R61" s="31"/>
      <c r="S61" s="31"/>
      <c r="T61" s="31"/>
      <c r="U61" s="31"/>
      <c r="V61" s="31"/>
      <c r="W61" s="31"/>
      <c r="X61" s="31"/>
      <c r="Y61" s="31"/>
      <c r="Z61" s="31"/>
      <c r="AA61" s="70"/>
      <c r="AB61" s="70"/>
      <c r="AC61" s="71"/>
      <c r="AD61" s="70"/>
      <c r="AE61" s="70"/>
      <c r="AF61" s="70"/>
      <c r="AG61" s="70"/>
      <c r="AH61" s="70"/>
      <c r="AI61" s="71"/>
      <c r="AJ61" s="71"/>
      <c r="AK61" s="71"/>
      <c r="AL61" s="71"/>
      <c r="AM61" s="71"/>
      <c r="AN61" s="71"/>
      <c r="AO61" s="71"/>
      <c r="AP61" s="71"/>
      <c r="AQ61" s="71"/>
      <c r="AR61" s="71"/>
      <c r="AS61" s="71"/>
    </row>
    <row r="62" spans="1:45" ht="21.95" customHeight="1">
      <c r="A62" s="31"/>
      <c r="B62" s="83">
        <f t="shared" ref="B62:B70" si="30">+B61+1</f>
        <v>2017</v>
      </c>
      <c r="C62" s="83">
        <f t="shared" ref="C62:C70" si="31">D15</f>
        <v>2</v>
      </c>
      <c r="D62" s="85">
        <f>SUMPRODUCT(AD$14:AD15,N$14:N15)+IF(B15&gt;=G$5,G$6*G15/100*(X15*(1-N$4-X$12))/G$3,0)*N15</f>
        <v>1412.736901177871</v>
      </c>
      <c r="E62" s="85">
        <f>SUMPRODUCT(AE$14:AE15,N$14:N15)+IF(B15&gt;=G$5,G$6*G15/100*(Y15*(1-N$4-Y$12))/G$3,0)*N15</f>
        <v>1414.953860855584</v>
      </c>
      <c r="F62" s="85">
        <f>SUMPRODUCT(AF$14:AF15,N$14:N15)+IF(B15&gt;=G$5,G$6*G15/100*(Z15*(1-N$4-Z$12))/G$3,0)*N15</f>
        <v>1417.1708205332973</v>
      </c>
      <c r="G62" s="85">
        <f>SUMPRODUCT(AG$14:AG15,N$14:N15)+IF(B15&gt;=G$5,G$6*G15/100*(AA15*(1-N$4-AA$12))/G$3,0)*N15</f>
        <v>1419.3877802110105</v>
      </c>
      <c r="H62" s="85">
        <f>SUMPRODUCT(AH$14:AH15,N$14:N15)+IF(B15&gt;=G$5,G$6*G15/100*(AB15*(1-N$4-AB$12))/G$3,0)*N15</f>
        <v>1421.6047398887233</v>
      </c>
      <c r="I62" s="31"/>
      <c r="J62" s="31"/>
      <c r="K62" s="31"/>
      <c r="L62" s="31"/>
      <c r="M62" s="31"/>
      <c r="N62" s="31"/>
      <c r="O62" s="32"/>
      <c r="P62" s="31"/>
      <c r="Q62" s="31"/>
      <c r="R62" s="31"/>
      <c r="S62" s="31"/>
      <c r="T62" s="31"/>
      <c r="U62" s="31"/>
      <c r="V62" s="31"/>
      <c r="W62" s="31"/>
      <c r="X62" s="31"/>
      <c r="Y62" s="31"/>
      <c r="Z62" s="31"/>
      <c r="AA62" s="71"/>
      <c r="AB62" s="71"/>
      <c r="AC62" s="71"/>
      <c r="AD62" s="71"/>
      <c r="AE62" s="71"/>
      <c r="AF62" s="71"/>
      <c r="AG62" s="71"/>
      <c r="AH62" s="71"/>
      <c r="AI62" s="71"/>
      <c r="AJ62" s="71"/>
      <c r="AK62" s="71"/>
      <c r="AL62" s="71"/>
      <c r="AM62" s="71"/>
      <c r="AN62" s="71"/>
      <c r="AO62" s="71"/>
      <c r="AP62" s="71"/>
      <c r="AQ62" s="71"/>
      <c r="AR62" s="71"/>
      <c r="AS62" s="71"/>
    </row>
    <row r="63" spans="1:45" ht="21.95" customHeight="1">
      <c r="A63" s="31"/>
      <c r="B63" s="99">
        <f t="shared" si="30"/>
        <v>2018</v>
      </c>
      <c r="C63" s="99">
        <f t="shared" si="31"/>
        <v>3</v>
      </c>
      <c r="D63" s="102">
        <f>SUMPRODUCT(AD$14:AD16,N$14:N16)+IF(B16&gt;=G$5,G$6*G16/100*(X16*(1-N$4-X$12))/G$3,0)*N16</f>
        <v>1408.9634509784137</v>
      </c>
      <c r="E63" s="102">
        <f>SUMPRODUCT(AE$14:AE16,N$14:N16)+IF(B16&gt;=G$5,G$6*G16/100*(Y16*(1-N$4-Y$12))/G$3,0)*N16</f>
        <v>1411.388273694173</v>
      </c>
      <c r="F63" s="102">
        <f>SUMPRODUCT(AF$14:AF16,N$14:N16)+IF(B16&gt;=G$5,G$6*G16/100*(Z16*(1-N$4-Z$12))/G$3,0)*N16</f>
        <v>1413.8072079385997</v>
      </c>
      <c r="G63" s="102">
        <f>SUMPRODUCT(AG$14:AG16,N$14:N16)+IF(B16&gt;=G$5,G$6*G16/100*(AA16*(1-N$4-AA$12))/G$3,0)*N16</f>
        <v>1416.2202537116937</v>
      </c>
      <c r="H63" s="102">
        <f>SUMPRODUCT(AH$14:AH16,N$14:N16)+IF(B16&gt;=G$5,G$6*G16/100*(AB16*(1-N$4-AB$12))/G$3,0)*N16</f>
        <v>1418.6274110134545</v>
      </c>
      <c r="I63" s="31"/>
      <c r="J63" s="31"/>
      <c r="K63" s="31"/>
      <c r="L63" s="31"/>
      <c r="M63" s="31"/>
      <c r="N63" s="31"/>
      <c r="O63" s="32"/>
      <c r="P63" s="31"/>
      <c r="Q63" s="31"/>
      <c r="R63" s="31"/>
      <c r="S63" s="31"/>
      <c r="T63" s="31"/>
      <c r="U63" s="31"/>
      <c r="V63" s="31"/>
      <c r="W63" s="31"/>
      <c r="X63" s="31"/>
      <c r="Y63" s="31"/>
      <c r="Z63" s="31"/>
      <c r="AA63" s="71"/>
      <c r="AB63" s="71"/>
      <c r="AC63" s="71"/>
      <c r="AD63" s="71"/>
      <c r="AE63" s="71"/>
      <c r="AF63" s="71"/>
      <c r="AG63" s="71"/>
      <c r="AH63" s="71"/>
      <c r="AI63" s="71"/>
      <c r="AJ63" s="71"/>
      <c r="AK63" s="71"/>
      <c r="AL63" s="71"/>
      <c r="AM63" s="71"/>
      <c r="AN63" s="71"/>
      <c r="AO63" s="71"/>
      <c r="AP63" s="71"/>
      <c r="AQ63" s="71"/>
      <c r="AR63" s="71"/>
      <c r="AS63" s="71"/>
    </row>
    <row r="64" spans="1:45" ht="21.95" customHeight="1">
      <c r="A64" s="31"/>
      <c r="B64" s="83">
        <f t="shared" si="30"/>
        <v>2019</v>
      </c>
      <c r="C64" s="83">
        <f t="shared" si="31"/>
        <v>4</v>
      </c>
      <c r="D64" s="85">
        <f>SUMPRODUCT(AD$14:AD17,N$14:N17)+IF(B17&gt;=G$5,G$6*G17/100*(X17*(1-N$4-X$12))/G$3,0)*N17</f>
        <v>1401.6043349553388</v>
      </c>
      <c r="E64" s="85">
        <f>SUMPRODUCT(AE$14:AE17,N$14:N17)+IF(B17&gt;=G$5,G$6*G17/100*(Y17*(1-N$4-Y$12))/G$3,0)*N17</f>
        <v>1404.6287779035415</v>
      </c>
      <c r="F64" s="85">
        <f>SUMPRODUCT(AF$14:AF17,N$14:N17)+IF(B17&gt;=G$5,G$6*G17/100*(Z17*(1-N$4-Z$12))/G$3,0)*N17</f>
        <v>1407.6138430037245</v>
      </c>
      <c r="G64" s="85">
        <f>SUMPRODUCT(AG$14:AG17,N$14:N17)+IF(B17&gt;=G$5,G$6*G17/100*(AA17*(1-N$4-AA$12))/G$3,0)*N17</f>
        <v>1410.5604925942973</v>
      </c>
      <c r="H64" s="85">
        <f>SUMPRODUCT(AH$14:AH17,N$14:N17)+IF(B17&gt;=G$5,G$6*G17/100*(AB17*(1-N$4-AB$12))/G$3,0)*N17</f>
        <v>1413.4696890136706</v>
      </c>
      <c r="I64" s="31"/>
      <c r="J64" s="31"/>
      <c r="K64" s="31"/>
      <c r="L64" s="31"/>
      <c r="M64" s="31"/>
      <c r="N64" s="31"/>
      <c r="O64" s="32"/>
      <c r="P64" s="31"/>
      <c r="Q64" s="31"/>
      <c r="R64" s="31"/>
      <c r="S64" s="31"/>
      <c r="T64" s="31"/>
      <c r="U64" s="31"/>
      <c r="V64" s="31"/>
      <c r="W64" s="31"/>
      <c r="X64" s="31"/>
      <c r="Y64" s="31"/>
      <c r="Z64" s="31"/>
      <c r="AA64" s="71"/>
      <c r="AB64" s="71"/>
      <c r="AC64" s="71"/>
      <c r="AD64" s="71"/>
      <c r="AE64" s="71"/>
      <c r="AF64" s="71"/>
      <c r="AG64" s="71"/>
      <c r="AH64" s="71"/>
      <c r="AI64" s="71"/>
      <c r="AJ64" s="71"/>
      <c r="AK64" s="71"/>
      <c r="AL64" s="71"/>
      <c r="AM64" s="71"/>
      <c r="AN64" s="71"/>
      <c r="AO64" s="71"/>
      <c r="AP64" s="71"/>
      <c r="AQ64" s="71"/>
      <c r="AR64" s="71"/>
      <c r="AS64" s="71"/>
    </row>
    <row r="65" spans="1:45" ht="21.95" customHeight="1">
      <c r="A65" s="31"/>
      <c r="B65" s="99">
        <f t="shared" si="30"/>
        <v>2020</v>
      </c>
      <c r="C65" s="99">
        <f t="shared" si="31"/>
        <v>5</v>
      </c>
      <c r="D65" s="102">
        <f>SUMPRODUCT(AD$14:AD18,N$14:N18)+IF(B18&gt;=G$5,G$6*G18/100*(X18*(1-N$4-X$12))/G$3,0)*N18</f>
        <v>1377.2589113566912</v>
      </c>
      <c r="E65" s="102">
        <f>SUMPRODUCT(AE$14:AE18,N$14:N18)+IF(B18&gt;=G$5,G$6*G18/100*(Y18*(1-N$4-Y$12))/G$3,0)*N18</f>
        <v>1382.8916478048404</v>
      </c>
      <c r="F65" s="102">
        <f>SUMPRODUCT(AF$14:AF18,N$14:N18)+IF(B18&gt;=G$5,G$6*G18/100*(Z18*(1-N$4-Z$12))/G$3,0)*N18</f>
        <v>1388.2695870468397</v>
      </c>
      <c r="G65" s="102">
        <f>SUMPRODUCT(AG$14:AG18,N$14:N18)+IF(B18&gt;=G$5,G$6*G18/100*(AA18*(1-N$4-AA$12))/G$3,0)*N18</f>
        <v>1393.4058922852237</v>
      </c>
      <c r="H65" s="102">
        <f>SUMPRODUCT(AH$14:AH18,N$14:N18)+IF(B18&gt;=G$5,G$6*G18/100*(AB18*(1-N$4-AB$12))/G$3,0)*N18</f>
        <v>1398.3133710122038</v>
      </c>
      <c r="I65" s="31"/>
      <c r="J65" s="31"/>
      <c r="K65" s="31"/>
      <c r="L65" s="31"/>
      <c r="M65" s="31"/>
      <c r="N65" s="31"/>
      <c r="O65" s="32"/>
      <c r="P65" s="31"/>
      <c r="Q65" s="31"/>
      <c r="R65" s="31"/>
      <c r="S65" s="31"/>
      <c r="T65" s="31"/>
      <c r="U65" s="31"/>
      <c r="V65" s="31"/>
      <c r="W65" s="31"/>
      <c r="X65" s="31"/>
      <c r="Y65" s="31"/>
      <c r="Z65" s="31"/>
      <c r="AA65" s="71"/>
      <c r="AB65" s="71"/>
      <c r="AC65" s="71"/>
      <c r="AD65" s="71"/>
      <c r="AE65" s="71"/>
      <c r="AF65" s="71"/>
      <c r="AG65" s="71"/>
      <c r="AH65" s="71"/>
      <c r="AI65" s="71"/>
      <c r="AJ65" s="71"/>
      <c r="AK65" s="71"/>
      <c r="AL65" s="71"/>
      <c r="AM65" s="71"/>
      <c r="AN65" s="71"/>
      <c r="AO65" s="71"/>
      <c r="AP65" s="71"/>
      <c r="AQ65" s="71"/>
      <c r="AR65" s="71"/>
      <c r="AS65" s="71"/>
    </row>
    <row r="66" spans="1:45" ht="21.95" customHeight="1">
      <c r="A66" s="31"/>
      <c r="B66" s="83">
        <f t="shared" si="30"/>
        <v>2021</v>
      </c>
      <c r="C66" s="83">
        <f t="shared" si="31"/>
        <v>6</v>
      </c>
      <c r="D66" s="85">
        <f>SUMPRODUCT(AD$14:AD19,N$14:N19)+IF(B19&gt;=G$5,G$6*G19/100*(X19*(1-N$4-X$12))/G$3,0)*N19</f>
        <v>1362.3407841225871</v>
      </c>
      <c r="E66" s="85">
        <f>SUMPRODUCT(AE$14:AE19,N$14:N19)+IF(B19&gt;=G$5,G$6*G19/100*(Y19*(1-N$4-Y$12))/G$3,0)*N19</f>
        <v>1369.9438653656705</v>
      </c>
      <c r="F66" s="85">
        <f>SUMPRODUCT(AF$14:AF19,N$14:N19)+IF(B19&gt;=G$5,G$6*G19/100*(Z19*(1-N$4-Z$12))/G$3,0)*N19</f>
        <v>1377.0782319734883</v>
      </c>
      <c r="G66" s="85">
        <f>SUMPRODUCT(AG$14:AG19,N$14:N19)+IF(B19&gt;=G$5,G$6*G19/100*(AA19*(1-N$4-AA$12))/G$3,0)*N19</f>
        <v>1383.7749586066293</v>
      </c>
      <c r="H66" s="85">
        <f>SUMPRODUCT(AH$14:AH19,N$14:N19)+IF(B19&gt;=G$5,G$6*G19/100*(AB19*(1-N$4-AB$12))/G$3,0)*N19</f>
        <v>1390.0637352586111</v>
      </c>
      <c r="I66" s="31"/>
      <c r="J66" s="31"/>
      <c r="K66" s="31"/>
      <c r="L66" s="31"/>
      <c r="M66" s="31"/>
      <c r="N66" s="31"/>
      <c r="O66" s="32"/>
      <c r="P66" s="31"/>
      <c r="Q66" s="31"/>
      <c r="R66" s="31"/>
      <c r="S66" s="31"/>
      <c r="T66" s="31"/>
      <c r="U66" s="31"/>
      <c r="V66" s="31"/>
      <c r="W66" s="31"/>
      <c r="X66" s="31"/>
      <c r="Y66" s="31"/>
      <c r="Z66" s="31"/>
      <c r="AA66" s="71"/>
      <c r="AB66" s="71"/>
      <c r="AC66" s="71"/>
      <c r="AD66" s="71"/>
      <c r="AE66" s="71"/>
      <c r="AF66" s="71"/>
      <c r="AG66" s="71"/>
      <c r="AH66" s="71"/>
      <c r="AI66" s="71"/>
      <c r="AJ66" s="71"/>
      <c r="AK66" s="71"/>
      <c r="AL66" s="71"/>
      <c r="AM66" s="71"/>
      <c r="AN66" s="71"/>
      <c r="AO66" s="71"/>
      <c r="AP66" s="71"/>
      <c r="AQ66" s="71"/>
      <c r="AR66" s="71"/>
      <c r="AS66" s="71"/>
    </row>
    <row r="67" spans="1:45" ht="21.95" customHeight="1">
      <c r="A67" s="31"/>
      <c r="B67" s="99">
        <f t="shared" si="30"/>
        <v>2022</v>
      </c>
      <c r="C67" s="99">
        <f t="shared" si="31"/>
        <v>7</v>
      </c>
      <c r="D67" s="102">
        <f>SUMPRODUCT(AD$14:AD20,N$14:N20)+IF(B20&gt;=G$5,G$6*G20/100*(X20*(1-N$4-X$12))/G$3,0)*N20</f>
        <v>1339.1975812477604</v>
      </c>
      <c r="E67" s="102">
        <f>SUMPRODUCT(AE$14:AE20,N$14:N20)+IF(B20&gt;=G$5,G$6*G20/100*(Y20*(1-N$4-Y$12))/G$3,0)*N20</f>
        <v>1350.4184282034832</v>
      </c>
      <c r="F67" s="102">
        <f>SUMPRODUCT(AF$14:AF20,N$14:N20)+IF(B20&gt;=G$5,G$6*G20/100*(Z20*(1-N$4-Z$12))/G$3,0)*N20</f>
        <v>1360.686475087035</v>
      </c>
      <c r="G67" s="102">
        <f>SUMPRODUCT(AG$14:AG20,N$14:N20)+IF(B20&gt;=G$5,G$6*G20/100*(AA20*(1-N$4-AA$12))/G$3,0)*N20</f>
        <v>1370.0860644716279</v>
      </c>
      <c r="H67" s="102">
        <f>SUMPRODUCT(AH$14:AH20,N$14:N20)+IF(B20&gt;=G$5,G$6*G20/100*(AB20*(1-N$4-AB$12))/G$3,0)*N20</f>
        <v>1378.6956316662925</v>
      </c>
      <c r="I67" s="31"/>
      <c r="J67" s="31"/>
      <c r="K67" s="31"/>
      <c r="L67" s="31"/>
      <c r="M67" s="31"/>
      <c r="N67" s="31"/>
      <c r="O67" s="31"/>
      <c r="P67" s="31"/>
      <c r="Q67" s="31"/>
      <c r="R67" s="31"/>
      <c r="S67" s="31"/>
      <c r="T67" s="31"/>
      <c r="U67" s="31"/>
      <c r="V67" s="31"/>
      <c r="W67" s="31"/>
      <c r="X67" s="31"/>
      <c r="Y67" s="31"/>
      <c r="Z67" s="31"/>
      <c r="AA67" s="71"/>
      <c r="AB67" s="71"/>
      <c r="AC67" s="71"/>
      <c r="AD67" s="71"/>
      <c r="AE67" s="71"/>
      <c r="AF67" s="71"/>
      <c r="AG67" s="71"/>
      <c r="AH67" s="71"/>
      <c r="AI67" s="71"/>
      <c r="AJ67" s="71"/>
      <c r="AK67" s="71"/>
      <c r="AL67" s="71"/>
      <c r="AM67" s="71"/>
      <c r="AN67" s="71"/>
      <c r="AO67" s="71"/>
      <c r="AP67" s="71"/>
      <c r="AQ67" s="71"/>
      <c r="AR67" s="71"/>
      <c r="AS67" s="71"/>
    </row>
    <row r="68" spans="1:45" ht="21.95" customHeight="1">
      <c r="A68" s="31"/>
      <c r="B68" s="83">
        <f t="shared" si="30"/>
        <v>2023</v>
      </c>
      <c r="C68" s="83">
        <f t="shared" si="31"/>
        <v>8</v>
      </c>
      <c r="D68" s="85">
        <f>SUMPRODUCT(AD$14:AD21,N$14:N21)+IF(B21&gt;=G$5,G$6*G21/100*(X21*(1-N$4-X$12))/G$3,0)*N21</f>
        <v>1317.2007586644388</v>
      </c>
      <c r="E68" s="85">
        <f>SUMPRODUCT(AE$14:AE21,N$14:N21)+IF(B21&gt;=G$5,G$6*G21/100*(Y21*(1-N$4-Y$12))/G$3,0)*N21</f>
        <v>1332.378555315064</v>
      </c>
      <c r="F68" s="85">
        <f>SUMPRODUCT(AF$14:AF21,N$14:N21)+IF(B21&gt;=G$5,G$6*G21/100*(Z21*(1-N$4-Z$12))/G$3,0)*N21</f>
        <v>1345.9770510625833</v>
      </c>
      <c r="G68" s="85">
        <f>SUMPRODUCT(AG$14:AG21,N$14:N21)+IF(B21&gt;=G$5,G$6*G21/100*(AA21*(1-N$4-AA$12))/G$3,0)*N21</f>
        <v>1358.1655315505627</v>
      </c>
      <c r="H68" s="85">
        <f>SUMPRODUCT(AH$14:AH21,N$14:N21)+IF(B21&gt;=G$5,G$6*G21/100*(AB21*(1-N$4-AB$12))/G$3,0)*N21</f>
        <v>1369.0978999639112</v>
      </c>
      <c r="I68" s="31"/>
      <c r="J68" s="31"/>
      <c r="K68" s="31"/>
      <c r="L68" s="31"/>
      <c r="M68" s="31"/>
      <c r="N68" s="31"/>
      <c r="O68" s="31"/>
      <c r="P68" s="31"/>
      <c r="Q68" s="31"/>
      <c r="R68" s="31"/>
      <c r="S68" s="31"/>
      <c r="T68" s="31"/>
      <c r="U68" s="31"/>
      <c r="V68" s="31"/>
      <c r="W68" s="31"/>
      <c r="X68" s="31"/>
      <c r="Y68" s="31"/>
      <c r="Z68" s="31"/>
      <c r="AA68" s="71"/>
      <c r="AB68" s="71"/>
      <c r="AC68" s="71"/>
      <c r="AD68" s="71"/>
      <c r="AE68" s="71"/>
      <c r="AF68" s="71"/>
      <c r="AG68" s="71"/>
      <c r="AH68" s="71"/>
      <c r="AI68" s="71"/>
      <c r="AJ68" s="71"/>
      <c r="AK68" s="71"/>
      <c r="AL68" s="71"/>
      <c r="AM68" s="71"/>
      <c r="AN68" s="71"/>
      <c r="AO68" s="71"/>
      <c r="AP68" s="71"/>
      <c r="AQ68" s="71"/>
      <c r="AR68" s="71"/>
      <c r="AS68" s="71"/>
    </row>
    <row r="69" spans="1:45" ht="21.95" customHeight="1">
      <c r="A69" s="31"/>
      <c r="B69" s="99">
        <f t="shared" si="30"/>
        <v>2024</v>
      </c>
      <c r="C69" s="99">
        <f t="shared" si="31"/>
        <v>9</v>
      </c>
      <c r="D69" s="102">
        <f>SUMPRODUCT(AD$14:AD22,N$14:N22)+IF(B22&gt;=G$5,G$6*G22/100*(X22*(1-N$4-X$12))/G$3,0)*N22</f>
        <v>1300.6844992371332</v>
      </c>
      <c r="E69" s="102">
        <f>SUMPRODUCT(AE$14:AE22,N$14:N22)+IF(B22&gt;=G$5,G$6*G22/100*(Y22*(1-N$4-Y$12))/G$3,0)*N22</f>
        <v>1319.2117190700255</v>
      </c>
      <c r="F69" s="102">
        <f>SUMPRODUCT(AF$14:AF22,N$14:N22)+IF(B22&gt;=G$5,G$6*G22/100*(Z22*(1-N$4-Z$12))/G$3,0)*N22</f>
        <v>1335.5495297789348</v>
      </c>
      <c r="G69" s="102">
        <f>SUMPRODUCT(AG$14:AG22,N$14:N22)+IF(B22&gt;=G$5,G$6*G22/100*(AA22*(1-N$4-AA$12))/G$3,0)*N22</f>
        <v>1349.9650712131497</v>
      </c>
      <c r="H69" s="102">
        <f>SUMPRODUCT(AH$14:AH22,N$14:N22)+IF(B22&gt;=G$5,G$6*G22/100*(AB22*(1-N$4-AB$12))/G$3,0)*N22</f>
        <v>1362.6966550671325</v>
      </c>
      <c r="I69" s="31"/>
      <c r="J69" s="31"/>
      <c r="K69" s="31"/>
      <c r="L69" s="31"/>
      <c r="M69" s="31"/>
      <c r="N69" s="31"/>
      <c r="O69" s="31"/>
      <c r="P69" s="31"/>
      <c r="Q69" s="31"/>
      <c r="R69" s="31"/>
      <c r="S69" s="31"/>
      <c r="T69" s="31"/>
      <c r="U69" s="31"/>
      <c r="V69" s="31"/>
      <c r="W69" s="31"/>
      <c r="X69" s="31"/>
      <c r="Y69" s="31"/>
      <c r="Z69" s="31"/>
      <c r="AA69" s="71"/>
      <c r="AB69" s="71"/>
      <c r="AC69" s="71"/>
      <c r="AD69" s="71"/>
      <c r="AE69" s="71"/>
      <c r="AF69" s="71"/>
      <c r="AG69" s="71"/>
      <c r="AH69" s="71"/>
      <c r="AI69" s="71"/>
      <c r="AJ69" s="71"/>
      <c r="AK69" s="71"/>
      <c r="AL69" s="71"/>
      <c r="AM69" s="71"/>
      <c r="AN69" s="71"/>
      <c r="AO69" s="71"/>
      <c r="AP69" s="71"/>
      <c r="AQ69" s="71"/>
      <c r="AR69" s="71"/>
      <c r="AS69" s="71"/>
    </row>
    <row r="70" spans="1:45" ht="21.95" customHeight="1" thickBot="1">
      <c r="A70" s="31"/>
      <c r="B70" s="123">
        <f t="shared" si="30"/>
        <v>2025</v>
      </c>
      <c r="C70" s="123">
        <f t="shared" si="31"/>
        <v>10</v>
      </c>
      <c r="D70" s="125">
        <f>SUMPRODUCT(AD$14:AD23,N$14:N23)+IF(B23&gt;=G$5,G$6*G23/100*(X23*(1-N$4-X$12))/G$3,0)*N23</f>
        <v>1285.7940994048665</v>
      </c>
      <c r="E70" s="125">
        <f>SUMPRODUCT(AE$14:AE23,N$14:N23)+IF(B23&gt;=G$5,G$6*G23/100*(Y23*(1-N$4-Y$12))/G$3,0)*N23</f>
        <v>1307.6726090233399</v>
      </c>
      <c r="F70" s="125">
        <f>SUMPRODUCT(AF$14:AF23,N$14:N23)+IF(B23&gt;=G$5,G$6*G23/100*(Z23*(1-N$4-Z$12))/G$3,0)*N23</f>
        <v>1326.6736906513556</v>
      </c>
      <c r="G70" s="125">
        <f>SUMPRODUCT(AG$14:AG23,N$14:N23)+IF(B23&gt;=G$5,G$6*G23/100*(AA23*(1-N$4-AA$12))/G$3,0)*N23</f>
        <v>1343.1914062320507</v>
      </c>
      <c r="H70" s="125">
        <f>SUMPRODUCT(AH$14:AH23,N$14:N23)+IF(B23&gt;=G$5,G$6*G23/100*(AB23*(1-N$4-AB$12))/G$3,0)*N23</f>
        <v>1357.5703647314417</v>
      </c>
      <c r="I70" s="31"/>
      <c r="J70" s="31"/>
      <c r="K70" s="31"/>
      <c r="L70" s="31"/>
      <c r="M70" s="31"/>
      <c r="N70" s="31"/>
      <c r="O70" s="31"/>
      <c r="P70" s="31"/>
      <c r="Q70" s="31"/>
      <c r="R70" s="31"/>
      <c r="S70" s="31"/>
      <c r="T70" s="31"/>
      <c r="U70" s="31"/>
      <c r="V70" s="31"/>
      <c r="W70" s="31"/>
      <c r="X70" s="31"/>
      <c r="Y70" s="31"/>
      <c r="Z70" s="31"/>
      <c r="AA70" s="71"/>
      <c r="AB70" s="71"/>
      <c r="AC70" s="71"/>
      <c r="AD70" s="71"/>
      <c r="AE70" s="71"/>
      <c r="AF70" s="71"/>
      <c r="AG70" s="71"/>
      <c r="AH70" s="71"/>
      <c r="AI70" s="71"/>
      <c r="AJ70" s="71"/>
      <c r="AK70" s="71"/>
      <c r="AL70" s="71"/>
      <c r="AM70" s="71"/>
      <c r="AN70" s="71"/>
      <c r="AO70" s="71"/>
      <c r="AP70" s="71"/>
      <c r="AQ70" s="71"/>
      <c r="AR70" s="71"/>
      <c r="AS70" s="71"/>
    </row>
    <row r="71" spans="1:45">
      <c r="A71" s="31"/>
      <c r="B71" s="98" t="s">
        <v>30</v>
      </c>
      <c r="C71" s="31"/>
      <c r="D71" s="31"/>
      <c r="E71" s="31"/>
      <c r="F71" s="31"/>
      <c r="G71" s="31"/>
      <c r="H71" s="31"/>
      <c r="I71" s="31"/>
      <c r="J71" s="31"/>
      <c r="K71" s="31"/>
      <c r="L71" s="31"/>
      <c r="M71" s="31"/>
      <c r="N71" s="31"/>
      <c r="O71" s="31"/>
      <c r="P71" s="31"/>
      <c r="Q71" s="31"/>
      <c r="R71" s="31"/>
      <c r="S71" s="31"/>
      <c r="T71" s="31"/>
      <c r="U71" s="31"/>
      <c r="V71" s="31"/>
      <c r="W71" s="70"/>
      <c r="X71" s="71"/>
      <c r="Y71" s="71"/>
      <c r="Z71" s="71"/>
      <c r="AA71" s="71"/>
      <c r="AB71" s="71"/>
      <c r="AC71" s="71"/>
      <c r="AD71" s="71"/>
      <c r="AE71" s="71"/>
      <c r="AF71" s="71"/>
      <c r="AG71" s="71"/>
      <c r="AH71" s="71"/>
      <c r="AI71" s="71"/>
      <c r="AJ71" s="71"/>
      <c r="AK71" s="71"/>
      <c r="AL71" s="71"/>
      <c r="AM71" s="71"/>
      <c r="AN71" s="71"/>
      <c r="AO71" s="71"/>
      <c r="AP71" s="71"/>
      <c r="AQ71" s="71"/>
      <c r="AR71" s="71"/>
      <c r="AS71" s="71"/>
    </row>
    <row r="72" spans="1:45">
      <c r="A72" s="31"/>
      <c r="B72" s="45" t="s">
        <v>54</v>
      </c>
      <c r="C72" s="31"/>
      <c r="D72" s="31"/>
      <c r="E72" s="31"/>
      <c r="F72" s="31"/>
      <c r="G72" s="31"/>
      <c r="H72" s="122">
        <v>2.5000000000000001E-2</v>
      </c>
      <c r="I72" s="31"/>
      <c r="J72" s="31"/>
      <c r="K72" s="31"/>
      <c r="L72" s="31"/>
      <c r="M72" s="31"/>
      <c r="N72" s="31"/>
      <c r="O72" s="31"/>
      <c r="P72" s="31"/>
      <c r="Q72" s="31"/>
      <c r="R72" s="31"/>
      <c r="S72" s="31"/>
      <c r="T72" s="31"/>
      <c r="U72" s="31"/>
      <c r="V72" s="31"/>
      <c r="W72" s="70"/>
      <c r="X72" s="71"/>
      <c r="Y72" s="71"/>
      <c r="Z72" s="71"/>
      <c r="AA72" s="71"/>
      <c r="AB72" s="71"/>
      <c r="AC72" s="71"/>
      <c r="AD72" s="71"/>
      <c r="AE72" s="71"/>
      <c r="AF72" s="71"/>
      <c r="AG72" s="71"/>
      <c r="AH72" s="71"/>
      <c r="AI72" s="71"/>
      <c r="AJ72" s="71"/>
      <c r="AK72" s="71"/>
      <c r="AL72" s="71"/>
      <c r="AM72" s="71"/>
      <c r="AN72" s="71"/>
      <c r="AO72" s="71"/>
      <c r="AP72" s="71"/>
      <c r="AQ72" s="71"/>
      <c r="AR72" s="71"/>
      <c r="AS72" s="71"/>
    </row>
    <row r="73" spans="1:45" ht="15.75" thickBot="1">
      <c r="A73" s="70"/>
      <c r="B73" s="31"/>
      <c r="C73" s="31"/>
      <c r="D73" s="31"/>
      <c r="E73" s="31"/>
      <c r="F73" s="31"/>
      <c r="G73" s="31"/>
      <c r="H73" s="31"/>
      <c r="I73" s="70"/>
      <c r="J73" s="70"/>
      <c r="K73" s="70"/>
      <c r="L73" s="70"/>
      <c r="M73" s="70"/>
      <c r="N73" s="70"/>
      <c r="O73" s="70"/>
      <c r="P73" s="70"/>
      <c r="Q73" s="70"/>
      <c r="R73" s="70"/>
      <c r="S73" s="70"/>
      <c r="T73" s="70"/>
      <c r="U73" s="70"/>
      <c r="V73" s="70"/>
      <c r="W73" s="70"/>
      <c r="X73" s="71"/>
      <c r="Y73" s="71"/>
      <c r="Z73" s="71"/>
      <c r="AA73" s="71"/>
      <c r="AB73" s="71"/>
      <c r="AC73" s="71"/>
      <c r="AD73" s="71"/>
      <c r="AE73" s="71"/>
      <c r="AF73" s="71"/>
      <c r="AG73" s="71"/>
      <c r="AH73" s="71"/>
      <c r="AI73" s="71"/>
      <c r="AJ73" s="71"/>
      <c r="AK73" s="71"/>
      <c r="AL73" s="71"/>
      <c r="AM73" s="71"/>
      <c r="AN73" s="71"/>
      <c r="AO73" s="71"/>
      <c r="AP73" s="71"/>
      <c r="AQ73" s="71"/>
      <c r="AR73" s="71"/>
      <c r="AS73" s="71"/>
    </row>
    <row r="74" spans="1:45">
      <c r="A74" s="70"/>
      <c r="B74" s="72" t="s">
        <v>50</v>
      </c>
      <c r="C74" s="58"/>
      <c r="D74" s="58"/>
      <c r="E74" s="58"/>
      <c r="F74" s="58"/>
      <c r="G74" s="58"/>
      <c r="H74" s="59"/>
      <c r="I74" s="70"/>
      <c r="J74" s="70"/>
      <c r="K74" s="70"/>
      <c r="L74" s="70"/>
      <c r="M74" s="70"/>
      <c r="N74" s="70"/>
      <c r="O74" s="70"/>
      <c r="P74" s="70"/>
      <c r="Q74" s="70"/>
      <c r="R74" s="70"/>
      <c r="S74" s="70"/>
      <c r="T74" s="70"/>
      <c r="U74" s="70"/>
      <c r="V74" s="70"/>
      <c r="W74" s="70"/>
      <c r="X74" s="71"/>
      <c r="Y74" s="71"/>
      <c r="Z74" s="71"/>
      <c r="AA74" s="71"/>
      <c r="AB74" s="71"/>
      <c r="AC74" s="71"/>
      <c r="AD74" s="71"/>
      <c r="AE74" s="71"/>
      <c r="AF74" s="71"/>
      <c r="AG74" s="71"/>
      <c r="AH74" s="71"/>
      <c r="AI74" s="71"/>
      <c r="AJ74" s="71"/>
      <c r="AK74" s="71"/>
      <c r="AL74" s="71"/>
      <c r="AM74" s="71"/>
      <c r="AN74" s="71"/>
      <c r="AO74" s="71"/>
      <c r="AP74" s="71"/>
      <c r="AQ74" s="71"/>
      <c r="AR74" s="71"/>
      <c r="AS74" s="71"/>
    </row>
    <row r="75" spans="1:45">
      <c r="A75" s="71"/>
      <c r="B75" s="73"/>
      <c r="C75" s="74"/>
      <c r="D75" s="75" t="s">
        <v>55</v>
      </c>
      <c r="E75" s="75"/>
      <c r="F75" s="75"/>
      <c r="G75" s="75"/>
      <c r="H75" s="76"/>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row>
    <row r="76" spans="1:45">
      <c r="A76" s="71"/>
      <c r="B76" s="77" t="s">
        <v>51</v>
      </c>
      <c r="C76" s="78"/>
      <c r="D76" s="129">
        <f>D59</f>
        <v>0.1</v>
      </c>
      <c r="E76" s="129">
        <f>E59</f>
        <v>0.125</v>
      </c>
      <c r="F76" s="129">
        <f>F59</f>
        <v>0.15</v>
      </c>
      <c r="G76" s="129">
        <f>G59</f>
        <v>0.17499999999999999</v>
      </c>
      <c r="H76" s="130">
        <f>H59</f>
        <v>0.19999999999999998</v>
      </c>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row>
    <row r="77" spans="1:45" ht="17.45" customHeight="1">
      <c r="A77" s="71"/>
      <c r="B77" s="66">
        <v>4</v>
      </c>
      <c r="C77" s="68" t="str">
        <f>B77&amp;" calves"</f>
        <v>4 calves</v>
      </c>
      <c r="D77" s="62">
        <f>VLOOKUP($B77,$C$61:$H$70,2)</f>
        <v>1401.6043349553388</v>
      </c>
      <c r="E77" s="62">
        <f>VLOOKUP($B77,$C$61:$H$70,3)</f>
        <v>1404.6287779035415</v>
      </c>
      <c r="F77" s="62">
        <f>VLOOKUP($B77,$C$61:$H$70,4)</f>
        <v>1407.6138430037245</v>
      </c>
      <c r="G77" s="62">
        <f>VLOOKUP($B77,$C$61:$H$70,5)</f>
        <v>1410.5604925942973</v>
      </c>
      <c r="H77" s="63">
        <f>VLOOKUP($B77,$C$61:$H$70,6)</f>
        <v>1413.4696890136706</v>
      </c>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row>
    <row r="78" spans="1:45" ht="17.45" customHeight="1">
      <c r="A78" s="71"/>
      <c r="B78" s="79">
        <v>7</v>
      </c>
      <c r="C78" s="80" t="str">
        <f>B78&amp;" calves"</f>
        <v>7 calves</v>
      </c>
      <c r="D78" s="81">
        <f>VLOOKUP($B78,$C$61:$H$70,2)</f>
        <v>1339.1975812477604</v>
      </c>
      <c r="E78" s="81">
        <f>VLOOKUP($B78,$C$61:$H$70,3)</f>
        <v>1350.4184282034832</v>
      </c>
      <c r="F78" s="81">
        <f>VLOOKUP($B78,$C$61:$H$70,4)</f>
        <v>1360.686475087035</v>
      </c>
      <c r="G78" s="81">
        <f>VLOOKUP($B78,$C$61:$H$70,5)</f>
        <v>1370.0860644716279</v>
      </c>
      <c r="H78" s="82">
        <f>VLOOKUP($B78,$C$61:$H$70,6)</f>
        <v>1378.6956316662925</v>
      </c>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row>
    <row r="79" spans="1:45" ht="17.45" customHeight="1" thickBot="1">
      <c r="A79" s="71"/>
      <c r="B79" s="67">
        <v>10</v>
      </c>
      <c r="C79" s="69" t="str">
        <f>B79&amp;" calves"</f>
        <v>10 calves</v>
      </c>
      <c r="D79" s="64">
        <f>VLOOKUP($B79,$C$61:$H$70,2)</f>
        <v>1285.7940994048665</v>
      </c>
      <c r="E79" s="64">
        <f>VLOOKUP($B79,$C$61:$H$70,3)</f>
        <v>1307.6726090233399</v>
      </c>
      <c r="F79" s="64">
        <f>VLOOKUP($B79,$C$61:$H$70,4)</f>
        <v>1326.6736906513556</v>
      </c>
      <c r="G79" s="64">
        <f>VLOOKUP($B79,$C$61:$H$70,5)</f>
        <v>1343.1914062320507</v>
      </c>
      <c r="H79" s="65">
        <f>VLOOKUP($B79,$C$61:$H$70,6)</f>
        <v>1357.5703647314417</v>
      </c>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row>
    <row r="80" spans="1:45">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row>
    <row r="81" spans="34:45">
      <c r="AH81" s="71"/>
      <c r="AI81" s="71"/>
      <c r="AJ81" s="71"/>
      <c r="AK81" s="71"/>
      <c r="AL81" s="71"/>
      <c r="AM81" s="71"/>
      <c r="AN81" s="71"/>
      <c r="AO81" s="71"/>
      <c r="AP81" s="71"/>
      <c r="AQ81" s="71"/>
      <c r="AR81" s="71"/>
      <c r="AS81" s="71"/>
    </row>
  </sheetData>
  <sheetProtection algorithmName="SHA-512" hashValue="JCR+l/0+PDG/A/bbYNFAWgKJ3eqvebXXdQ8LzSXESxvw2KYU02MYNulvci3rLReerGE1clwkQWpJjlFhuTTNPQ==" saltValue="f2J1I61iVhDnwPY6cAVZoQ==" spinCount="100000" sheet="1" objects="1" scenarios="1"/>
  <mergeCells count="3">
    <mergeCell ref="B26:O27"/>
    <mergeCell ref="I12:J12"/>
    <mergeCell ref="AP12:AQ12"/>
  </mergeCells>
  <phoneticPr fontId="0" type="noConversion"/>
  <pageMargins left="0.75" right="0.75" top="1" bottom="1" header="0" footer="0.25"/>
  <pageSetup scale="51" fitToHeight="2" orientation="landscape" r:id="rId1"/>
  <headerFooter alignWithMargins="0">
    <oddFooter>&amp;C&amp;10KSU-Beef Replacements
Developed by Kevin C. Dhuyvetter
Department of Agricultural Economics, Kansas State University</oddFooter>
  </headerFooter>
  <ignoredErrors>
    <ignoredError sqref="C51:C5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98" r:id="rId4" name="Button 26">
              <controlPr defaultSize="0" print="0" autoFill="0" autoPict="0" macro="[0]!Print2">
                <anchor moveWithCells="1" sizeWithCells="1">
                  <from>
                    <xdr:col>13</xdr:col>
                    <xdr:colOff>123825</xdr:colOff>
                    <xdr:row>0</xdr:row>
                    <xdr:rowOff>95250</xdr:rowOff>
                  </from>
                  <to>
                    <xdr:col>14</xdr:col>
                    <xdr:colOff>533400</xdr:colOff>
                    <xdr:row>1</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K28" sqref="K28"/>
    </sheetView>
  </sheetViews>
  <sheetFormatPr defaultRowHeight="15"/>
  <cols>
    <col min="1" max="1" width="6.77734375" style="214" customWidth="1"/>
    <col min="2" max="2" width="14.77734375" style="214" customWidth="1"/>
    <col min="3" max="3" width="10.77734375" style="214" customWidth="1"/>
    <col min="4" max="7" width="12.77734375" style="214" customWidth="1"/>
    <col min="8" max="8" width="4.77734375" style="214" customWidth="1"/>
    <col min="9" max="9" width="8.88671875" style="214" customWidth="1"/>
    <col min="10" max="16384" width="8.88671875" style="214"/>
  </cols>
  <sheetData>
    <row r="1" spans="1:15">
      <c r="A1" s="204"/>
      <c r="B1" s="204"/>
      <c r="C1" s="204"/>
      <c r="D1" s="204"/>
      <c r="E1" s="204"/>
      <c r="F1" s="204"/>
      <c r="G1" s="204"/>
      <c r="H1" s="204"/>
      <c r="I1" s="204"/>
      <c r="J1" s="204"/>
      <c r="K1" s="204"/>
      <c r="L1" s="204"/>
      <c r="M1" s="204"/>
      <c r="N1" s="204"/>
      <c r="O1" s="204"/>
    </row>
    <row r="2" spans="1:15" ht="15.75">
      <c r="A2" s="204"/>
      <c r="B2" s="199" t="s">
        <v>84</v>
      </c>
      <c r="C2" s="132"/>
      <c r="D2" s="132"/>
      <c r="E2" s="132"/>
      <c r="F2" s="132"/>
      <c r="G2" s="132"/>
      <c r="H2" s="204"/>
      <c r="I2" s="204"/>
      <c r="J2" s="204"/>
      <c r="K2" s="204"/>
      <c r="L2" s="204"/>
      <c r="M2" s="204"/>
      <c r="N2" s="204"/>
      <c r="O2" s="204"/>
    </row>
    <row r="3" spans="1:15">
      <c r="A3" s="204"/>
      <c r="B3" s="200" t="s">
        <v>86</v>
      </c>
      <c r="C3" s="200"/>
      <c r="D3" s="201" t="s">
        <v>85</v>
      </c>
      <c r="E3" s="201" t="s">
        <v>87</v>
      </c>
      <c r="F3" s="201" t="s">
        <v>88</v>
      </c>
      <c r="G3" s="201" t="s">
        <v>89</v>
      </c>
      <c r="H3" s="204"/>
      <c r="I3" s="204"/>
      <c r="J3" s="204"/>
      <c r="K3" s="204"/>
      <c r="L3" s="204"/>
      <c r="M3" s="204"/>
      <c r="N3" s="204"/>
      <c r="O3" s="204"/>
    </row>
    <row r="4" spans="1:15">
      <c r="A4" s="204"/>
      <c r="B4" s="204"/>
      <c r="C4" s="204"/>
      <c r="D4" s="204"/>
      <c r="E4" s="204"/>
      <c r="F4" s="204"/>
      <c r="G4" s="204"/>
      <c r="H4" s="204"/>
      <c r="I4" s="204"/>
      <c r="J4" s="204"/>
      <c r="K4" s="204"/>
      <c r="L4" s="204"/>
      <c r="M4" s="204"/>
      <c r="N4" s="204"/>
      <c r="O4" s="204"/>
    </row>
    <row r="5" spans="1:15" ht="16.5" thickBot="1">
      <c r="A5" s="204"/>
      <c r="B5" s="279" t="s">
        <v>80</v>
      </c>
      <c r="C5" s="279"/>
      <c r="D5" s="279"/>
      <c r="E5" s="279"/>
      <c r="F5" s="279"/>
      <c r="G5" s="279"/>
      <c r="H5" s="205"/>
      <c r="I5" s="215" t="s">
        <v>90</v>
      </c>
      <c r="J5" s="194"/>
      <c r="K5" s="194"/>
      <c r="L5" s="194"/>
      <c r="M5" s="194"/>
      <c r="N5" s="194"/>
      <c r="O5" s="204"/>
    </row>
    <row r="6" spans="1:15">
      <c r="A6" s="204"/>
      <c r="B6" s="132"/>
      <c r="C6" s="133" t="s">
        <v>76</v>
      </c>
      <c r="D6" s="133"/>
      <c r="E6" s="133" t="s">
        <v>75</v>
      </c>
      <c r="F6" s="133" t="s">
        <v>75</v>
      </c>
      <c r="G6" s="133" t="s">
        <v>74</v>
      </c>
      <c r="H6" s="206"/>
      <c r="I6" s="133" t="s">
        <v>82</v>
      </c>
      <c r="J6" s="133" t="s">
        <v>11</v>
      </c>
      <c r="K6" s="133" t="s">
        <v>83</v>
      </c>
      <c r="L6" s="133" t="s">
        <v>82</v>
      </c>
      <c r="M6" s="133" t="s">
        <v>11</v>
      </c>
      <c r="N6" s="133" t="s">
        <v>83</v>
      </c>
      <c r="O6" s="204"/>
    </row>
    <row r="7" spans="1:15">
      <c r="A7" s="204"/>
      <c r="B7" s="134" t="s">
        <v>5</v>
      </c>
      <c r="C7" s="134" t="s">
        <v>73</v>
      </c>
      <c r="D7" s="134" t="s">
        <v>72</v>
      </c>
      <c r="E7" s="134" t="s">
        <v>71</v>
      </c>
      <c r="F7" s="134" t="s">
        <v>70</v>
      </c>
      <c r="G7" s="134" t="s">
        <v>69</v>
      </c>
      <c r="H7" s="207"/>
      <c r="I7" s="202" t="s">
        <v>68</v>
      </c>
      <c r="J7" s="202" t="s">
        <v>68</v>
      </c>
      <c r="K7" s="202" t="s">
        <v>68</v>
      </c>
      <c r="L7" s="202" t="s">
        <v>67</v>
      </c>
      <c r="M7" s="202" t="s">
        <v>67</v>
      </c>
      <c r="N7" s="202" t="s">
        <v>67</v>
      </c>
      <c r="O7" s="204"/>
    </row>
    <row r="8" spans="1:15">
      <c r="A8" s="204"/>
      <c r="B8" s="135">
        <f>'Net present value'!B14</f>
        <v>2016</v>
      </c>
      <c r="C8" s="135">
        <f>'Net present value'!D14</f>
        <v>1</v>
      </c>
      <c r="D8" s="136">
        <f>'Net present value'!O14</f>
        <v>1492.1040576400001</v>
      </c>
      <c r="E8" s="136">
        <f>'Net present value'!E35</f>
        <v>1562.1040576400001</v>
      </c>
      <c r="F8" s="136">
        <f>'Net present value'!AK14</f>
        <v>1492.1040576400001</v>
      </c>
      <c r="G8" s="136">
        <f>'Net present value'!AS14</f>
        <v>1712.0670076400004</v>
      </c>
      <c r="H8" s="208"/>
      <c r="I8" s="137">
        <f t="shared" ref="I8:I17" si="0">E8-$D8</f>
        <v>70</v>
      </c>
      <c r="J8" s="137">
        <f t="shared" ref="J8:J17" si="1">F8-$D8</f>
        <v>0</v>
      </c>
      <c r="K8" s="137">
        <f t="shared" ref="K8:K17" si="2">G8-$D8</f>
        <v>219.96295000000032</v>
      </c>
      <c r="L8" s="138">
        <f t="shared" ref="L8:L17" si="3">I8/$D8</f>
        <v>4.6913618149873632E-2</v>
      </c>
      <c r="M8" s="138">
        <f t="shared" ref="M8:M17" si="4">J8/$D8</f>
        <v>0</v>
      </c>
      <c r="N8" s="138">
        <f t="shared" ref="N8:N17" si="5">K8/$D8</f>
        <v>0.14741796919171088</v>
      </c>
      <c r="O8" s="204"/>
    </row>
    <row r="9" spans="1:15">
      <c r="A9" s="204"/>
      <c r="B9" s="135">
        <f>'Net present value'!B15</f>
        <v>2017</v>
      </c>
      <c r="C9" s="135">
        <f>'Net present value'!D15</f>
        <v>2</v>
      </c>
      <c r="D9" s="136">
        <f>'Net present value'!O15</f>
        <v>1417.1708205332973</v>
      </c>
      <c r="E9" s="136">
        <f>'Net present value'!E36</f>
        <v>1542.74430890539</v>
      </c>
      <c r="F9" s="136">
        <f>'Net present value'!AK15</f>
        <v>1423.3380635981214</v>
      </c>
      <c r="G9" s="136">
        <f>'Net present value'!AS15</f>
        <v>1686.1707654785528</v>
      </c>
      <c r="H9" s="208"/>
      <c r="I9" s="137">
        <f t="shared" si="0"/>
        <v>125.5734883720927</v>
      </c>
      <c r="J9" s="137">
        <f t="shared" si="1"/>
        <v>6.1672430648241061</v>
      </c>
      <c r="K9" s="137">
        <f t="shared" si="2"/>
        <v>268.99994494525549</v>
      </c>
      <c r="L9" s="138">
        <f t="shared" si="3"/>
        <v>8.8608576011209417E-2</v>
      </c>
      <c r="M9" s="138">
        <f t="shared" si="4"/>
        <v>4.351799356483577E-3</v>
      </c>
      <c r="N9" s="138">
        <f t="shared" si="5"/>
        <v>0.18981476406918102</v>
      </c>
      <c r="O9" s="204"/>
    </row>
    <row r="10" spans="1:15">
      <c r="A10" s="204"/>
      <c r="B10" s="135">
        <f>'Net present value'!B16</f>
        <v>2018</v>
      </c>
      <c r="C10" s="135">
        <f>'Net present value'!D16</f>
        <v>3</v>
      </c>
      <c r="D10" s="136">
        <f>'Net present value'!O16</f>
        <v>1413.8072079385997</v>
      </c>
      <c r="E10" s="136">
        <f>'Net present value'!E37</f>
        <v>1583.5008764513091</v>
      </c>
      <c r="F10" s="136">
        <f>'Net present value'!AK16</f>
        <v>1424.3097832371159</v>
      </c>
      <c r="G10" s="136">
        <f>'Net present value'!AS16</f>
        <v>1727.6403169034447</v>
      </c>
      <c r="H10" s="208"/>
      <c r="I10" s="137">
        <f t="shared" si="0"/>
        <v>169.69366851270934</v>
      </c>
      <c r="J10" s="137">
        <f t="shared" si="1"/>
        <v>10.502575298516149</v>
      </c>
      <c r="K10" s="137">
        <f t="shared" si="2"/>
        <v>313.833108964845</v>
      </c>
      <c r="L10" s="138">
        <f t="shared" si="3"/>
        <v>0.12002603152669665</v>
      </c>
      <c r="M10" s="138">
        <f t="shared" si="4"/>
        <v>7.4285767108440608E-3</v>
      </c>
      <c r="N10" s="138">
        <f t="shared" si="5"/>
        <v>0.22197730157454004</v>
      </c>
      <c r="O10" s="204"/>
    </row>
    <row r="11" spans="1:15">
      <c r="A11" s="204"/>
      <c r="B11" s="135">
        <f>'Net present value'!B17</f>
        <v>2019</v>
      </c>
      <c r="C11" s="135">
        <f>'Net present value'!D17</f>
        <v>4</v>
      </c>
      <c r="D11" s="136">
        <f>'Net present value'!O17</f>
        <v>1407.6138430037245</v>
      </c>
      <c r="E11" s="136">
        <f>'Net present value'!E38</f>
        <v>1612.3348303452797</v>
      </c>
      <c r="F11" s="136">
        <f>'Net present value'!AK17</f>
        <v>1421.2216647957673</v>
      </c>
      <c r="G11" s="136">
        <f>'Net present value'!AS17</f>
        <v>1756.7995625098374</v>
      </c>
      <c r="H11" s="208"/>
      <c r="I11" s="137">
        <f t="shared" si="0"/>
        <v>204.7209873415552</v>
      </c>
      <c r="J11" s="137">
        <f t="shared" si="1"/>
        <v>13.607821792042841</v>
      </c>
      <c r="K11" s="137">
        <f t="shared" si="2"/>
        <v>349.18571950611295</v>
      </c>
      <c r="L11" s="138">
        <f t="shared" si="3"/>
        <v>0.14543831631031603</v>
      </c>
      <c r="M11" s="138">
        <f t="shared" si="4"/>
        <v>9.6672975046941442E-3</v>
      </c>
      <c r="N11" s="138">
        <f t="shared" si="5"/>
        <v>0.24806925652349457</v>
      </c>
      <c r="O11" s="204"/>
    </row>
    <row r="12" spans="1:15">
      <c r="A12" s="204"/>
      <c r="B12" s="135">
        <f>'Net present value'!B18</f>
        <v>2020</v>
      </c>
      <c r="C12" s="135">
        <f>'Net present value'!D18</f>
        <v>5</v>
      </c>
      <c r="D12" s="136">
        <f>'Net present value'!O18</f>
        <v>1388.2695870468397</v>
      </c>
      <c r="E12" s="136">
        <f>'Net present value'!E39</f>
        <v>1620.7990071832587</v>
      </c>
      <c r="F12" s="136">
        <f>'Net present value'!AK18</f>
        <v>1403.7829712542309</v>
      </c>
      <c r="G12" s="136">
        <f>'Net present value'!AS18</f>
        <v>1764.1675582110674</v>
      </c>
      <c r="H12" s="208"/>
      <c r="I12" s="137">
        <f t="shared" si="0"/>
        <v>232.52942013641905</v>
      </c>
      <c r="J12" s="137">
        <f t="shared" si="1"/>
        <v>15.513384207391255</v>
      </c>
      <c r="K12" s="137">
        <f t="shared" si="2"/>
        <v>375.89797116422778</v>
      </c>
      <c r="L12" s="138">
        <f t="shared" si="3"/>
        <v>0.16749586845812939</v>
      </c>
      <c r="M12" s="138">
        <f t="shared" si="4"/>
        <v>1.1174619362217461E-2</v>
      </c>
      <c r="N12" s="138">
        <f t="shared" si="5"/>
        <v>0.27076727364160369</v>
      </c>
      <c r="O12" s="204"/>
    </row>
    <row r="13" spans="1:15">
      <c r="A13" s="204"/>
      <c r="B13" s="135">
        <f>'Net present value'!B19</f>
        <v>2021</v>
      </c>
      <c r="C13" s="135">
        <f>'Net present value'!D19</f>
        <v>6</v>
      </c>
      <c r="D13" s="136">
        <f>'Net present value'!O19</f>
        <v>1377.0782319734883</v>
      </c>
      <c r="E13" s="136">
        <f>'Net present value'!E40</f>
        <v>1631.6849609180717</v>
      </c>
      <c r="F13" s="136">
        <f>'Net present value'!AK19</f>
        <v>1394.049332598287</v>
      </c>
      <c r="G13" s="136">
        <f>'Net present value'!AS19</f>
        <v>1774.5932755713864</v>
      </c>
      <c r="H13" s="208"/>
      <c r="I13" s="137">
        <f t="shared" si="0"/>
        <v>254.60672894458344</v>
      </c>
      <c r="J13" s="137">
        <f t="shared" si="1"/>
        <v>16.971100624798737</v>
      </c>
      <c r="K13" s="137">
        <f t="shared" si="2"/>
        <v>397.51504359789806</v>
      </c>
      <c r="L13" s="138">
        <f t="shared" si="3"/>
        <v>0.18488908112337743</v>
      </c>
      <c r="M13" s="138">
        <f t="shared" si="4"/>
        <v>1.2323991644597769E-2</v>
      </c>
      <c r="N13" s="138">
        <f t="shared" si="5"/>
        <v>0.28866554881796364</v>
      </c>
      <c r="O13" s="204"/>
    </row>
    <row r="14" spans="1:15">
      <c r="A14" s="204"/>
      <c r="B14" s="135">
        <f>'Net present value'!B20</f>
        <v>2022</v>
      </c>
      <c r="C14" s="135">
        <f>'Net present value'!D20</f>
        <v>7</v>
      </c>
      <c r="D14" s="136">
        <f>'Net present value'!O20</f>
        <v>1360.686475087035</v>
      </c>
      <c r="E14" s="136">
        <f>'Net present value'!E41</f>
        <v>1632.8205335221555</v>
      </c>
      <c r="F14" s="136">
        <f>'Net present value'!AK20</f>
        <v>1378.405964597137</v>
      </c>
      <c r="G14" s="136">
        <f>'Net present value'!AS20</f>
        <v>1774.5484537187606</v>
      </c>
      <c r="H14" s="208"/>
      <c r="I14" s="137">
        <f t="shared" si="0"/>
        <v>272.13405843512055</v>
      </c>
      <c r="J14" s="137">
        <f t="shared" si="1"/>
        <v>17.719489510101994</v>
      </c>
      <c r="K14" s="137">
        <f t="shared" si="2"/>
        <v>413.86197863172561</v>
      </c>
      <c r="L14" s="138">
        <f t="shared" si="3"/>
        <v>0.19999762136072805</v>
      </c>
      <c r="M14" s="138">
        <f t="shared" si="4"/>
        <v>1.3022463171737327E-2</v>
      </c>
      <c r="N14" s="138">
        <f t="shared" si="5"/>
        <v>0.30415675191101854</v>
      </c>
      <c r="O14" s="204"/>
    </row>
    <row r="15" spans="1:15">
      <c r="A15" s="204"/>
      <c r="B15" s="135">
        <f>'Net present value'!B21</f>
        <v>2023</v>
      </c>
      <c r="C15" s="135">
        <f>'Net present value'!D21</f>
        <v>8</v>
      </c>
      <c r="D15" s="136">
        <f>'Net present value'!O21</f>
        <v>1345.9770510625833</v>
      </c>
      <c r="E15" s="136">
        <f>'Net present value'!E42</f>
        <v>1632.0261786639353</v>
      </c>
      <c r="F15" s="136">
        <f>'Net present value'!AK21</f>
        <v>1364.0842044768451</v>
      </c>
      <c r="G15" s="136">
        <f>'Net present value'!AS21</f>
        <v>1772.625395835998</v>
      </c>
      <c r="H15" s="208"/>
      <c r="I15" s="137">
        <f t="shared" si="0"/>
        <v>286.04912760135198</v>
      </c>
      <c r="J15" s="137">
        <f t="shared" si="1"/>
        <v>18.107153414261802</v>
      </c>
      <c r="K15" s="137">
        <f t="shared" si="2"/>
        <v>426.64834477341469</v>
      </c>
      <c r="L15" s="138">
        <f t="shared" si="3"/>
        <v>0.21252154884478167</v>
      </c>
      <c r="M15" s="138">
        <f t="shared" si="4"/>
        <v>1.3452795053204724E-2</v>
      </c>
      <c r="N15" s="138">
        <f t="shared" si="5"/>
        <v>0.31698040054739168</v>
      </c>
      <c r="O15" s="204"/>
    </row>
    <row r="16" spans="1:15">
      <c r="A16" s="204"/>
      <c r="B16" s="135">
        <f>'Net present value'!B22</f>
        <v>2024</v>
      </c>
      <c r="C16" s="135">
        <f>'Net present value'!D22</f>
        <v>9</v>
      </c>
      <c r="D16" s="136">
        <f>'Net present value'!O22</f>
        <v>1335.5495297789348</v>
      </c>
      <c r="E16" s="136">
        <f>'Net present value'!E43</f>
        <v>1632.6459278732364</v>
      </c>
      <c r="F16" s="136">
        <f>'Net present value'!AK22</f>
        <v>1353.937649167337</v>
      </c>
      <c r="G16" s="136">
        <f>'Net present value'!AS22</f>
        <v>1772.4499115072763</v>
      </c>
      <c r="H16" s="208"/>
      <c r="I16" s="137">
        <f t="shared" si="0"/>
        <v>297.09639809430155</v>
      </c>
      <c r="J16" s="137">
        <f t="shared" si="1"/>
        <v>18.388119388402174</v>
      </c>
      <c r="K16" s="137">
        <f t="shared" si="2"/>
        <v>436.90038172834147</v>
      </c>
      <c r="L16" s="138">
        <f t="shared" si="3"/>
        <v>0.22245254965832534</v>
      </c>
      <c r="M16" s="138">
        <f t="shared" si="4"/>
        <v>1.376820475646893E-2</v>
      </c>
      <c r="N16" s="138">
        <f t="shared" si="5"/>
        <v>0.32713154547002005</v>
      </c>
      <c r="O16" s="204"/>
    </row>
    <row r="17" spans="1:15">
      <c r="A17" s="204"/>
      <c r="B17" s="135">
        <f>'Net present value'!B23</f>
        <v>2025</v>
      </c>
      <c r="C17" s="135">
        <f>'Net present value'!D23</f>
        <v>10</v>
      </c>
      <c r="D17" s="136">
        <f>'Net present value'!O23</f>
        <v>1326.6736906513556</v>
      </c>
      <c r="E17" s="136">
        <f>'Net present value'!E44</f>
        <v>1632.5405938639901</v>
      </c>
      <c r="F17" s="136">
        <f>'Net present value'!AK23</f>
        <v>1345.1863707669509</v>
      </c>
      <c r="G17" s="136">
        <f>'Net present value'!AS23</f>
        <v>1771.6348251103407</v>
      </c>
      <c r="H17" s="208"/>
      <c r="I17" s="137">
        <f t="shared" si="0"/>
        <v>305.8669032126345</v>
      </c>
      <c r="J17" s="137">
        <f t="shared" si="1"/>
        <v>18.512680115595231</v>
      </c>
      <c r="K17" s="137">
        <f t="shared" si="2"/>
        <v>444.96113445898504</v>
      </c>
      <c r="L17" s="138">
        <f t="shared" si="3"/>
        <v>0.23055172147301975</v>
      </c>
      <c r="M17" s="138">
        <f t="shared" si="4"/>
        <v>1.3954207614161761E-2</v>
      </c>
      <c r="N17" s="138">
        <f t="shared" si="5"/>
        <v>0.33539606430313917</v>
      </c>
      <c r="O17" s="204"/>
    </row>
    <row r="18" spans="1:15">
      <c r="A18" s="204"/>
      <c r="B18" s="135"/>
      <c r="C18" s="135"/>
      <c r="D18" s="136"/>
      <c r="E18" s="136"/>
      <c r="F18" s="136"/>
      <c r="G18" s="136"/>
      <c r="H18" s="208"/>
      <c r="I18" s="136"/>
      <c r="J18" s="136"/>
      <c r="K18" s="136"/>
      <c r="L18" s="136"/>
      <c r="M18" s="136"/>
      <c r="N18" s="136"/>
      <c r="O18" s="204"/>
    </row>
    <row r="19" spans="1:15">
      <c r="A19" s="204"/>
      <c r="B19" s="197" t="s">
        <v>66</v>
      </c>
      <c r="C19" s="197"/>
      <c r="D19" s="197"/>
      <c r="E19" s="197"/>
      <c r="F19" s="197"/>
      <c r="G19" s="197"/>
      <c r="H19" s="209"/>
      <c r="I19" s="213"/>
      <c r="J19" s="213"/>
      <c r="K19" s="213"/>
      <c r="L19" s="213"/>
      <c r="M19" s="213"/>
      <c r="N19" s="213"/>
      <c r="O19" s="204"/>
    </row>
    <row r="20" spans="1:15">
      <c r="A20" s="204"/>
      <c r="B20" s="198" t="s">
        <v>2</v>
      </c>
      <c r="C20" s="140"/>
      <c r="D20" s="141">
        <f>'Net present value'!G7</f>
        <v>700</v>
      </c>
      <c r="E20" s="141">
        <f>'Net present value'!E33</f>
        <v>630</v>
      </c>
      <c r="F20" s="141">
        <f>D20</f>
        <v>700</v>
      </c>
      <c r="G20" s="141">
        <f>D20</f>
        <v>700</v>
      </c>
      <c r="H20" s="210"/>
      <c r="I20" s="204"/>
      <c r="J20" s="204"/>
      <c r="K20" s="204"/>
      <c r="L20" s="204"/>
      <c r="M20" s="204"/>
      <c r="N20" s="204"/>
      <c r="O20" s="204"/>
    </row>
    <row r="21" spans="1:15">
      <c r="A21" s="204"/>
      <c r="B21" s="198" t="s">
        <v>65</v>
      </c>
      <c r="C21" s="140"/>
      <c r="D21" s="142">
        <f>'Net present value'!$N9</f>
        <v>7.4999999999999997E-2</v>
      </c>
      <c r="E21" s="142">
        <f>'Net present value'!$N9</f>
        <v>7.4999999999999997E-2</v>
      </c>
      <c r="F21" s="142">
        <v>6.7500000000000004E-2</v>
      </c>
      <c r="G21" s="142">
        <f>D21</f>
        <v>7.4999999999999997E-2</v>
      </c>
      <c r="H21" s="211"/>
      <c r="I21" s="204"/>
      <c r="J21" s="204"/>
      <c r="K21" s="204"/>
      <c r="L21" s="204"/>
      <c r="M21" s="204"/>
      <c r="N21" s="204"/>
      <c r="O21" s="204"/>
    </row>
    <row r="22" spans="1:15">
      <c r="A22" s="204"/>
      <c r="B22" s="198" t="s">
        <v>64</v>
      </c>
      <c r="C22" s="140">
        <f t="shared" ref="C22:C31" si="6">B8</f>
        <v>2016</v>
      </c>
      <c r="D22" s="136">
        <f>'Net present value'!F14</f>
        <v>203.5686</v>
      </c>
      <c r="E22" s="136">
        <f>D22</f>
        <v>203.5686</v>
      </c>
      <c r="F22" s="136">
        <f>E22</f>
        <v>203.5686</v>
      </c>
      <c r="G22" s="136">
        <f>'Net present value'!AM14</f>
        <v>224.06860000000003</v>
      </c>
      <c r="H22" s="208"/>
      <c r="I22" s="204"/>
      <c r="J22" s="204"/>
      <c r="K22" s="204"/>
      <c r="L22" s="204"/>
      <c r="M22" s="204"/>
      <c r="N22" s="204"/>
      <c r="O22" s="204"/>
    </row>
    <row r="23" spans="1:15">
      <c r="A23" s="204"/>
      <c r="B23" s="139"/>
      <c r="C23" s="140">
        <f t="shared" si="6"/>
        <v>2017</v>
      </c>
      <c r="D23" s="136">
        <f>'Net present value'!F15</f>
        <v>167.29553725981921</v>
      </c>
      <c r="E23" s="136">
        <f t="shared" ref="E23:F31" si="7">D23</f>
        <v>167.29553725981921</v>
      </c>
      <c r="F23" s="136">
        <f t="shared" si="7"/>
        <v>167.29553725981921</v>
      </c>
      <c r="G23" s="136">
        <f>'Net present value'!AM15</f>
        <v>184.25243098580114</v>
      </c>
      <c r="H23" s="208"/>
      <c r="I23" s="204"/>
      <c r="J23" s="204"/>
      <c r="K23" s="204"/>
      <c r="L23" s="204"/>
      <c r="M23" s="204"/>
      <c r="N23" s="204"/>
      <c r="O23" s="204"/>
    </row>
    <row r="24" spans="1:15">
      <c r="A24" s="204"/>
      <c r="B24" s="139"/>
      <c r="C24" s="140">
        <f t="shared" si="6"/>
        <v>2018</v>
      </c>
      <c r="D24" s="136">
        <f>'Net present value'!F16</f>
        <v>155.08686671441032</v>
      </c>
      <c r="E24" s="136">
        <f t="shared" si="7"/>
        <v>155.08686671441032</v>
      </c>
      <c r="F24" s="136">
        <f t="shared" si="7"/>
        <v>155.08686671441032</v>
      </c>
      <c r="G24" s="136">
        <f>'Net present value'!AM16</f>
        <v>170.90709338585137</v>
      </c>
      <c r="H24" s="208"/>
      <c r="I24" s="204"/>
      <c r="J24" s="204"/>
      <c r="K24" s="204"/>
      <c r="L24" s="204"/>
      <c r="M24" s="204"/>
      <c r="N24" s="204"/>
      <c r="O24" s="204"/>
    </row>
    <row r="25" spans="1:15">
      <c r="A25" s="204"/>
      <c r="B25" s="139"/>
      <c r="C25" s="140">
        <f t="shared" si="6"/>
        <v>2019</v>
      </c>
      <c r="D25" s="136">
        <f>'Net present value'!F17</f>
        <v>148.051159844777</v>
      </c>
      <c r="E25" s="136">
        <f t="shared" si="7"/>
        <v>148.051159844777</v>
      </c>
      <c r="F25" s="136">
        <f t="shared" si="7"/>
        <v>148.051159844777</v>
      </c>
      <c r="G25" s="136">
        <f>'Net present value'!AM17</f>
        <v>163.20991582925473</v>
      </c>
      <c r="H25" s="208"/>
      <c r="I25" s="204"/>
      <c r="J25" s="204"/>
      <c r="K25" s="204"/>
      <c r="L25" s="204"/>
      <c r="M25" s="204"/>
      <c r="N25" s="204"/>
      <c r="O25" s="204"/>
    </row>
    <row r="26" spans="1:15">
      <c r="A26" s="204"/>
      <c r="B26" s="139"/>
      <c r="C26" s="140">
        <f t="shared" si="6"/>
        <v>2020</v>
      </c>
      <c r="D26" s="136">
        <f>'Net present value'!F18</f>
        <v>140.85568624673178</v>
      </c>
      <c r="E26" s="136">
        <f t="shared" si="7"/>
        <v>140.85568624673178</v>
      </c>
      <c r="F26" s="136">
        <f t="shared" si="7"/>
        <v>140.85568624673178</v>
      </c>
      <c r="G26" s="136">
        <f>'Net present value'!AM18</f>
        <v>155.33699487140498</v>
      </c>
      <c r="H26" s="208"/>
      <c r="I26" s="204"/>
      <c r="J26" s="204"/>
      <c r="K26" s="204"/>
      <c r="L26" s="204"/>
      <c r="M26" s="204"/>
      <c r="N26" s="204"/>
      <c r="O26" s="204"/>
    </row>
    <row r="27" spans="1:15">
      <c r="A27" s="204"/>
      <c r="B27" s="139"/>
      <c r="C27" s="140">
        <f t="shared" si="6"/>
        <v>2021</v>
      </c>
      <c r="D27" s="136">
        <f>'Net present value'!F19</f>
        <v>139.0960196178078</v>
      </c>
      <c r="E27" s="136">
        <f t="shared" si="7"/>
        <v>139.0960196178078</v>
      </c>
      <c r="F27" s="136">
        <f t="shared" si="7"/>
        <v>139.0960196178078</v>
      </c>
      <c r="G27" s="136">
        <f>'Net present value'!AM19</f>
        <v>153.40136157958858</v>
      </c>
      <c r="H27" s="208"/>
      <c r="I27" s="204"/>
      <c r="J27" s="204"/>
      <c r="K27" s="204"/>
      <c r="L27" s="204"/>
      <c r="M27" s="204"/>
      <c r="N27" s="204"/>
      <c r="O27" s="204"/>
    </row>
    <row r="28" spans="1:15">
      <c r="A28" s="204"/>
      <c r="B28" s="139"/>
      <c r="C28" s="140">
        <f t="shared" si="6"/>
        <v>2022</v>
      </c>
      <c r="D28" s="136">
        <f>'Net present value'!F20</f>
        <v>136.70867849224456</v>
      </c>
      <c r="E28" s="136">
        <f t="shared" si="7"/>
        <v>136.70867849224456</v>
      </c>
      <c r="F28" s="136">
        <f t="shared" si="7"/>
        <v>136.70867849224456</v>
      </c>
      <c r="G28" s="136">
        <f>'Net present value'!AM20</f>
        <v>150.73318634146904</v>
      </c>
      <c r="H28" s="208"/>
      <c r="I28" s="204"/>
      <c r="J28" s="204"/>
      <c r="K28" s="204"/>
      <c r="L28" s="204"/>
      <c r="M28" s="204"/>
      <c r="N28" s="204"/>
      <c r="O28" s="204"/>
    </row>
    <row r="29" spans="1:15">
      <c r="A29" s="204"/>
      <c r="B29" s="139"/>
      <c r="C29" s="140">
        <f t="shared" si="6"/>
        <v>2023</v>
      </c>
      <c r="D29" s="136">
        <f>'Net present value'!F21</f>
        <v>135.2988814307524</v>
      </c>
      <c r="E29" s="136">
        <f t="shared" si="7"/>
        <v>135.2988814307524</v>
      </c>
      <c r="F29" s="136">
        <f t="shared" si="7"/>
        <v>135.2988814307524</v>
      </c>
      <c r="G29" s="136">
        <f>'Net present value'!AM21</f>
        <v>149.16556957382767</v>
      </c>
      <c r="H29" s="208"/>
      <c r="I29" s="204"/>
      <c r="J29" s="204"/>
      <c r="K29" s="204"/>
      <c r="L29" s="204"/>
      <c r="M29" s="204"/>
      <c r="N29" s="204"/>
      <c r="O29" s="204"/>
    </row>
    <row r="30" spans="1:15">
      <c r="A30" s="204"/>
      <c r="B30" s="139"/>
      <c r="C30" s="140">
        <f t="shared" si="6"/>
        <v>2024</v>
      </c>
      <c r="D30" s="136">
        <f>'Net present value'!F22</f>
        <v>136.33143790220549</v>
      </c>
      <c r="E30" s="136">
        <f t="shared" si="7"/>
        <v>136.33143790220549</v>
      </c>
      <c r="F30" s="136">
        <f t="shared" si="7"/>
        <v>136.33143790220549</v>
      </c>
      <c r="G30" s="136">
        <f>'Net present value'!AM22</f>
        <v>150.27612169242605</v>
      </c>
      <c r="H30" s="208"/>
      <c r="I30" s="204"/>
      <c r="J30" s="204"/>
      <c r="K30" s="204"/>
      <c r="L30" s="204"/>
      <c r="M30" s="204"/>
      <c r="N30" s="204"/>
      <c r="O30" s="204"/>
    </row>
    <row r="31" spans="1:15" ht="15.75" thickBot="1">
      <c r="A31" s="204"/>
      <c r="B31" s="194"/>
      <c r="C31" s="195">
        <f t="shared" si="6"/>
        <v>2025</v>
      </c>
      <c r="D31" s="196">
        <f>'Net present value'!F23</f>
        <v>137.3972</v>
      </c>
      <c r="E31" s="196">
        <f t="shared" si="7"/>
        <v>137.3972</v>
      </c>
      <c r="F31" s="196">
        <f t="shared" si="7"/>
        <v>137.3972</v>
      </c>
      <c r="G31" s="196">
        <f>'Net present value'!AM23</f>
        <v>151.42320000000001</v>
      </c>
      <c r="H31" s="208"/>
      <c r="I31" s="204"/>
      <c r="J31" s="204"/>
      <c r="K31" s="204"/>
      <c r="L31" s="204"/>
      <c r="M31" s="204"/>
      <c r="N31" s="204"/>
      <c r="O31" s="204"/>
    </row>
    <row r="32" spans="1:15">
      <c r="A32" s="204"/>
      <c r="B32" s="282" t="s">
        <v>81</v>
      </c>
      <c r="C32" s="283"/>
      <c r="D32" s="283"/>
      <c r="E32" s="283"/>
      <c r="F32" s="283"/>
      <c r="G32" s="283"/>
      <c r="H32" s="204"/>
      <c r="I32" s="204"/>
      <c r="J32" s="204"/>
      <c r="K32" s="204"/>
      <c r="L32" s="204"/>
      <c r="M32" s="204"/>
      <c r="N32" s="204"/>
      <c r="O32" s="204"/>
    </row>
    <row r="33" spans="1:15">
      <c r="A33" s="204"/>
      <c r="B33" s="284"/>
      <c r="C33" s="284"/>
      <c r="D33" s="284"/>
      <c r="E33" s="284"/>
      <c r="F33" s="284"/>
      <c r="G33" s="284"/>
      <c r="H33" s="204"/>
      <c r="I33" s="204"/>
      <c r="J33" s="204"/>
      <c r="K33" s="204"/>
      <c r="L33" s="204"/>
      <c r="M33" s="204"/>
      <c r="N33" s="204"/>
      <c r="O33" s="204"/>
    </row>
    <row r="34" spans="1:15" ht="15.75">
      <c r="A34" s="204"/>
      <c r="B34" s="212"/>
      <c r="C34" s="212"/>
      <c r="D34" s="212"/>
      <c r="E34" s="212"/>
      <c r="F34" s="212"/>
      <c r="G34" s="212"/>
      <c r="H34" s="204"/>
      <c r="I34" s="204"/>
      <c r="J34" s="204"/>
      <c r="K34" s="204"/>
      <c r="L34" s="204"/>
      <c r="M34" s="204"/>
      <c r="N34" s="204"/>
      <c r="O34" s="204"/>
    </row>
    <row r="35" spans="1:15">
      <c r="A35" s="204"/>
      <c r="B35" s="280" t="s">
        <v>63</v>
      </c>
      <c r="C35" s="281"/>
      <c r="D35" s="281"/>
      <c r="E35" s="281"/>
      <c r="F35" s="281"/>
      <c r="G35" s="281"/>
      <c r="H35" s="204"/>
      <c r="I35" s="204"/>
      <c r="J35" s="204"/>
      <c r="K35" s="204"/>
      <c r="L35" s="204"/>
      <c r="M35" s="204"/>
      <c r="N35" s="204"/>
      <c r="O35" s="204"/>
    </row>
    <row r="36" spans="1:15">
      <c r="A36" s="204"/>
      <c r="B36" s="281"/>
      <c r="C36" s="281"/>
      <c r="D36" s="281"/>
      <c r="E36" s="281"/>
      <c r="F36" s="281"/>
      <c r="G36" s="281"/>
      <c r="H36" s="204"/>
      <c r="I36" s="204"/>
      <c r="J36" s="204"/>
      <c r="K36" s="204"/>
      <c r="L36" s="204"/>
      <c r="M36" s="204"/>
      <c r="N36" s="204"/>
      <c r="O36" s="204"/>
    </row>
    <row r="37" spans="1:15">
      <c r="A37" s="132"/>
      <c r="B37" s="204"/>
      <c r="C37" s="204"/>
      <c r="D37" s="204"/>
      <c r="E37" s="204"/>
      <c r="F37" s="204"/>
      <c r="G37" s="204"/>
      <c r="H37" s="204"/>
      <c r="I37" s="204"/>
      <c r="J37" s="204"/>
      <c r="K37" s="204"/>
      <c r="L37" s="204"/>
      <c r="M37" s="204"/>
      <c r="N37" s="204"/>
      <c r="O37" s="204"/>
    </row>
  </sheetData>
  <sheetProtection algorithmName="SHA-512" hashValue="m+QbAorJ+c4S/K+UF6Vu7yaGiGV4ZPku2B51gZDTfL7tB6fFsG0SiL+nr7ggTG5BllOHrPRH31xS5TXGowpOig==" saltValue="goI9ChU5T3P0FpW+uOaiLQ==" spinCount="100000" sheet="1" objects="1" scenarios="1"/>
  <mergeCells count="3">
    <mergeCell ref="B5:G5"/>
    <mergeCell ref="B35:G36"/>
    <mergeCell ref="B32:G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Beef Repl</vt:lpstr>
      <vt:lpstr>Prices and weights</vt:lpstr>
      <vt:lpstr>Net present value</vt:lpstr>
      <vt:lpstr>Sensitivity Table</vt:lpstr>
      <vt:lpstr>Prices</vt:lpstr>
      <vt:lpstr>'Beef Repl'!Print_Area</vt:lpstr>
      <vt:lpstr>weights</vt:lpstr>
    </vt:vector>
  </TitlesOfParts>
  <Company>Kansas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KSU-Beef Replacments</dc:title>
  <dc:creator>Kevin Dhuyvetter</dc:creator>
  <dc:description>password is int&amp;off</dc:description>
  <cp:lastModifiedBy>robinreid</cp:lastModifiedBy>
  <cp:lastPrinted>2011-10-15T14:35:52Z</cp:lastPrinted>
  <dcterms:created xsi:type="dcterms:W3CDTF">2004-11-15T17:16:10Z</dcterms:created>
  <dcterms:modified xsi:type="dcterms:W3CDTF">2016-05-31T17:22:27Z</dcterms:modified>
</cp:coreProperties>
</file>