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285" windowHeight="9630" activeTab="0"/>
  </bookViews>
  <sheets>
    <sheet name="Introduction" sheetId="1" r:id="rId1"/>
    <sheet name="CRP Decision Process Flow Chart" sheetId="2" r:id="rId2"/>
    <sheet name="CRP Decision Analysis" sheetId="3" r:id="rId3"/>
    <sheet name="Crop Budgets" sheetId="4" r:id="rId4"/>
    <sheet name="Annualized Cost Analysis" sheetId="5" r:id="rId5"/>
    <sheet name="Net Present Value Analysis" sheetId="6" r:id="rId6"/>
  </sheets>
  <definedNames>
    <definedName name="_xlnm.Print_Area" localSheetId="3">'Crop Budgets'!$B$39:$K$102</definedName>
    <definedName name="_xlnm.Print_Area" localSheetId="2">'CRP Decision Analysis'!$A$1:$H$63</definedName>
    <definedName name="_xlnm.Print_Area" localSheetId="0">'Introduction'!$B$2:$L$60</definedName>
    <definedName name="solver_adj" localSheetId="3" hidden="1">'Crop Budgets'!$F$10</definedName>
    <definedName name="solver_cvg" localSheetId="3" hidden="1">0.0001</definedName>
    <definedName name="solver_drv" localSheetId="3" hidden="1">1</definedName>
    <definedName name="solver_est" localSheetId="3" hidden="1">1</definedName>
    <definedName name="solver_itr" localSheetId="3" hidden="1">100</definedName>
    <definedName name="solver_lin" localSheetId="3" hidden="1">2</definedName>
    <definedName name="solver_neg" localSheetId="3" hidden="1">2</definedName>
    <definedName name="solver_num" localSheetId="3" hidden="1">0</definedName>
    <definedName name="solver_nwt" localSheetId="3" hidden="1">1</definedName>
    <definedName name="solver_opt" localSheetId="3" hidden="1">'Crop Budgets'!$F$32</definedName>
    <definedName name="solver_pre" localSheetId="3" hidden="1">0.000001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3</definedName>
    <definedName name="solver_val" localSheetId="3" hidden="1">-30.326378</definedName>
  </definedNames>
  <calcPr fullCalcOnLoad="1"/>
</workbook>
</file>

<file path=xl/comments3.xml><?xml version="1.0" encoding="utf-8"?>
<comments xmlns="http://schemas.openxmlformats.org/spreadsheetml/2006/main">
  <authors>
    <author>Kevin L. Herbel</author>
    <author> </author>
  </authors>
  <commentList>
    <comment ref="E10" authorId="0">
      <text>
        <r>
          <rPr>
            <sz val="9"/>
            <rFont val="Tahoma"/>
            <family val="2"/>
          </rPr>
          <t xml:space="preserve">Enter all information for the crop production alternative on the </t>
        </r>
        <r>
          <rPr>
            <b/>
            <i/>
            <sz val="9"/>
            <rFont val="Tahoma"/>
            <family val="2"/>
          </rPr>
          <t>Crop Budgets</t>
        </r>
        <r>
          <rPr>
            <sz val="9"/>
            <rFont val="Tahoma"/>
            <family val="2"/>
          </rPr>
          <t xml:space="preserve"> sheet of this workbook.</t>
        </r>
      </text>
    </comment>
    <comment ref="E23" authorId="0">
      <text>
        <r>
          <rPr>
            <sz val="9"/>
            <rFont val="Tahoma"/>
            <family val="2"/>
          </rPr>
          <t xml:space="preserve">Enter all information for the crop production alternative on the </t>
        </r>
        <r>
          <rPr>
            <b/>
            <i/>
            <sz val="9"/>
            <rFont val="Tahoma"/>
            <family val="2"/>
          </rPr>
          <t>Crop Budgets</t>
        </r>
        <r>
          <rPr>
            <sz val="9"/>
            <rFont val="Tahoma"/>
            <family val="2"/>
          </rPr>
          <t xml:space="preserve"> sheet of this workbook.</t>
        </r>
      </text>
    </comment>
    <comment ref="B30" authorId="0">
      <text>
        <r>
          <rPr>
            <sz val="9"/>
            <rFont val="Tahoma"/>
            <family val="2"/>
          </rPr>
          <t xml:space="preserve">To compute the annualized cost on a per acre basis use the </t>
        </r>
        <r>
          <rPr>
            <b/>
            <i/>
            <sz val="9"/>
            <rFont val="Tahoma"/>
            <family val="2"/>
          </rPr>
          <t xml:space="preserve">Annualized Cost Analysis </t>
        </r>
        <r>
          <rPr>
            <sz val="9"/>
            <rFont val="Tahoma"/>
            <family val="2"/>
          </rPr>
          <t>sheet of this workbook.  Carry the per unit number back to the proper cell of this sheet.</t>
        </r>
      </text>
    </comment>
    <comment ref="B45" authorId="1">
      <text>
        <r>
          <rPr>
            <sz val="9"/>
            <rFont val="Tahoma"/>
            <family val="2"/>
          </rPr>
          <t>In many instances landowners feel there is a return for resource conservation and preservation which can be measured with a dollar value.  If you desire estimate this value it can be entered in this cell.</t>
        </r>
      </text>
    </comment>
    <comment ref="B51" authorId="1">
      <text>
        <r>
          <rPr>
            <sz val="9"/>
            <rFont val="Tahoma"/>
            <family val="2"/>
          </rPr>
          <t>In order for the analysis in this spreadsheet to be completed, you needed to make several assumptions.  This sensitivity analysis allows comparing the alternatives with an adjustment for possible errors in those assumptions.</t>
        </r>
      </text>
    </comment>
  </commentList>
</comments>
</file>

<file path=xl/comments4.xml><?xml version="1.0" encoding="utf-8"?>
<comments xmlns="http://schemas.openxmlformats.org/spreadsheetml/2006/main">
  <authors>
    <author>dhuyvetter</author>
    <author>AgEcon</author>
  </authors>
  <commentList>
    <comment ref="B5" authorId="0">
      <text>
        <r>
          <rPr>
            <sz val="8"/>
            <rFont val="Tahoma"/>
            <family val="2"/>
          </rPr>
          <t xml:space="preserve">To examine the economic returns of two rotations enter a "1" or "2" for the respective rotations.  If a crop is not part of a rotation, enter zero.  A maximum of two crop rotations can be compared at once.
</t>
        </r>
      </text>
    </comment>
    <comment ref="B6" authorId="0">
      <text>
        <r>
          <rPr>
            <sz val="8"/>
            <rFont val="Tahoma"/>
            <family val="2"/>
          </rPr>
          <t xml:space="preserve">Enter the percent of the rotation represented by each crop.  For rotations involving fallow, a budget (column) must be entered for the fallow acres to account for the land charge.  The total percent of all crops (including fallow) must sum to 100%.
</t>
        </r>
      </text>
    </comment>
    <comment ref="B4" authorId="0">
      <text>
        <r>
          <rPr>
            <sz val="8"/>
            <rFont val="Tahoma"/>
            <family val="2"/>
          </rPr>
          <t xml:space="preserve">Specify the name of the crop or the system to analyze.  Each column should represent a different crop or tillage system.  A maximum of six individual crops/systems can be compared at once.
</t>
        </r>
      </text>
    </comment>
    <comment ref="B42" authorId="0">
      <text>
        <r>
          <rPr>
            <sz val="8"/>
            <rFont val="Tahoma"/>
            <family val="2"/>
          </rPr>
          <t>Specify the seeding rate in units per acre (e.g., pounds, seeds, etc.)</t>
        </r>
      </text>
    </comment>
    <comment ref="B43" authorId="0">
      <text>
        <r>
          <rPr>
            <sz val="8"/>
            <rFont val="Tahoma"/>
            <family val="2"/>
          </rPr>
          <t xml:space="preserve">Enter the price per unit for seed -- make sure units are consistent with those entered for seed rate.  For example, if seeding rate is in thousand seeds/acre costs need to be $/1000 seeds.
</t>
        </r>
      </text>
    </comment>
    <comment ref="B44" authorId="0">
      <text>
        <r>
          <rPr>
            <sz val="8"/>
            <rFont val="Tahoma"/>
            <family val="2"/>
          </rPr>
          <t>Up to five different fertilizer inputs can be entered individually.  Enter the rate applied by crop and the price per unit.  Fertilizer can be either by nutrient (e.g., N,P,K) or by source (e.g., 10-34-0) -- make sure $/unit is consistent with physical units.</t>
        </r>
      </text>
    </comment>
    <comment ref="B50" authorId="0">
      <text>
        <r>
          <rPr>
            <sz val="8"/>
            <rFont val="Tahoma"/>
            <family val="2"/>
          </rPr>
          <t>Up to ten individual or herbicide tank mixes can be entered.  Enter the rate applied by crop and the price per unit.  If a tank mix is entered on a single row, enter "1" as the unit and the cost/acre as the $/unit.  Make sure $/unit is consistent with physical units (e.g., if units are in ounces, $/unit needs to be $/ounce).  To calculate the cost/acre of tank mixes, go to the "Chemical tank mix costs" tab.</t>
        </r>
      </text>
    </comment>
    <comment ref="B61" authorId="0">
      <text>
        <r>
          <rPr>
            <sz val="8"/>
            <rFont val="Tahoma"/>
            <family val="2"/>
          </rPr>
          <t xml:space="preserve">Up to four individual or insecticide mixes can be entered.  Enter the rate applied by crop and the price per unit.  If a joint application is entered on a single row, enter "1" as the unit and the cost/acre as the $/unit.  Make sure $/unit is consistent with physical units (e.g., if units are in pounds, $/unit needs to be $/pound).  To calculate the cost/acre of tank mixes, go to the "Chemical tank mix costs" tab.
</t>
        </r>
      </text>
    </comment>
    <comment ref="B67" authorId="0">
      <text>
        <r>
          <rPr>
            <sz val="8"/>
            <rFont val="Tahoma"/>
            <family val="2"/>
          </rPr>
          <t xml:space="preserve">Enter irrigation repairs as cost per acre-inch of water applied.  If this cost is considered to be a "fixed cost" per acre rather than varying with application amounts, the flat rate per acre can be added to the miscellaneous category in the budget.
</t>
        </r>
      </text>
    </comment>
    <comment ref="B87" authorId="0">
      <text>
        <r>
          <rPr>
            <sz val="8"/>
            <rFont val="Tahoma"/>
            <family val="2"/>
          </rPr>
          <t xml:space="preserve">Harvest costs can be entered as a flat rate per acre plus an amount for high yields plus a hauling charge.  If only a flat rate is desired, enter zero for the charge for high yields and the hauling charge.  If the harvest charge is based on a flat rate per unit of yield (e.g., hay or silage per ton), enter zero for the flat rate and high yield and the flat rate as the charge for high yields.
</t>
        </r>
      </text>
    </comment>
    <comment ref="B78" authorId="0">
      <text>
        <r>
          <rPr>
            <sz val="8"/>
            <rFont val="Tahoma"/>
            <family val="2"/>
          </rPr>
          <t xml:space="preserve">A maximum of eight different tillage and chemical application charges can be used.  Enter the number of times a particular operation is used for each crop and the cost per acre for each operation used.
</t>
        </r>
      </text>
    </comment>
    <comment ref="B93" authorId="0">
      <text>
        <r>
          <rPr>
            <sz val="8"/>
            <rFont val="Tahoma"/>
            <family val="2"/>
          </rPr>
          <t xml:space="preserve">Non-machinery labor represents labor requirements in addition to "tractor seat" time.  Based on using Custom Rates for machinery operations and Farm Management Association Enterprise data, this number varies from 0.5 to 3.0 hours per acre depending on location in the state (lower numbers tend to be in western and south central Kansas and higher numbers are in eastern Kansas).
</t>
        </r>
      </text>
    </comment>
    <comment ref="J96" authorId="0">
      <text>
        <r>
          <rPr>
            <sz val="8"/>
            <rFont val="Tahoma"/>
            <family val="2"/>
          </rPr>
          <t>Enter a rate of return to land (%).  Historical rent-to-value levels in Kansas are around 5-7% with agriculture based land values.  If land is cash rented, enter 100%.</t>
        </r>
      </text>
    </comment>
    <comment ref="B99" authorId="0">
      <text>
        <r>
          <rPr>
            <sz val="8"/>
            <rFont val="Tahoma"/>
            <family val="2"/>
          </rPr>
          <t xml:space="preserve">Enter the investment value ($/ac), years of useful life and salvage value (%) for the different components of an irrigation system.  For information on irrigation investment see MF-836.
</t>
        </r>
      </text>
    </comment>
    <comment ref="B8" authorId="0">
      <text>
        <r>
          <rPr>
            <sz val="8"/>
            <rFont val="Tahoma"/>
            <family val="0"/>
          </rPr>
          <t xml:space="preserve">For owned or cash rented land, enter total income.  For crop share rented land, enter the appropriate share for the analysis (i.e., the operator's or landowner's share).
</t>
        </r>
      </text>
    </comment>
    <comment ref="B16" authorId="0">
      <text>
        <r>
          <rPr>
            <sz val="8"/>
            <rFont val="Tahoma"/>
            <family val="2"/>
          </rPr>
          <t>For owned or cash rented land, enter total costs.  For crop share rented land, enter the appropriate share for the analysis (i.e., the operator's or landowner's share).</t>
        </r>
      </text>
    </comment>
    <comment ref="B96" authorId="0">
      <text>
        <r>
          <rPr>
            <sz val="8"/>
            <rFont val="Tahoma"/>
            <family val="2"/>
          </rPr>
          <t>Enter a value for land ($/acre) that reflects average market values in the region as well as the productivity of the land.  If land is cash rented, enter the cash rental rate.  For crop share rented land, enter zero and adjust income and costs accordingly.</t>
        </r>
      </text>
    </comment>
    <comment ref="J66" authorId="0">
      <text>
        <r>
          <rPr>
            <sz val="8"/>
            <rFont val="Tahoma"/>
            <family val="2"/>
          </rPr>
          <t xml:space="preserve">Enter the cost/inch of irrigation water.  To determine the energy cost of pumping go to the "Irrigation energy costs" tab.
</t>
        </r>
      </text>
    </comment>
    <comment ref="B66" authorId="0">
      <text>
        <r>
          <rPr>
            <sz val="8"/>
            <rFont val="Tahoma"/>
            <family val="2"/>
          </rPr>
          <t xml:space="preserve">Specify the inches of irrigation water to be applied per acre and the cost per acre-inch.
</t>
        </r>
      </text>
    </comment>
    <comment ref="C28" authorId="1">
      <text>
        <r>
          <rPr>
            <sz val="9"/>
            <rFont val="Tahoma"/>
            <family val="2"/>
          </rPr>
          <t xml:space="preserve">In economic analysis a land charge is necessary to determine the true economic return.  If the analysis entered here is intended to compare with other </t>
        </r>
        <r>
          <rPr>
            <i/>
            <sz val="9"/>
            <rFont val="Tahoma"/>
            <family val="2"/>
          </rPr>
          <t>CRP Decision Analysis</t>
        </r>
        <r>
          <rPr>
            <sz val="9"/>
            <rFont val="Tahoma"/>
            <family val="2"/>
          </rPr>
          <t xml:space="preserve"> alternatives, the land charge should not be entered unless the other alternatives also include a land charge.  Otherwise, </t>
        </r>
        <r>
          <rPr>
            <b/>
            <i/>
            <sz val="9"/>
            <rFont val="Tahoma"/>
            <family val="2"/>
          </rPr>
          <t>enter only the cost of property tax in this cell.</t>
        </r>
      </text>
    </comment>
    <comment ref="C11" authorId="1">
      <text>
        <r>
          <rPr>
            <sz val="9"/>
            <rFont val="Tahoma"/>
            <family val="2"/>
          </rPr>
          <t>In many instances, if land is taken out of CRP and returned to crop production, there will not be any program payment acres with the land.  Check with your local FSA office to determine the situation on the land in question.</t>
        </r>
      </text>
    </comment>
  </commentList>
</comments>
</file>

<file path=xl/sharedStrings.xml><?xml version="1.0" encoding="utf-8"?>
<sst xmlns="http://schemas.openxmlformats.org/spreadsheetml/2006/main" count="354" uniqueCount="256">
  <si>
    <t>K-State Research and Extension</t>
  </si>
  <si>
    <t>CRP Decision.xls</t>
  </si>
  <si>
    <t xml:space="preserve">A spreadsheet program to estimate costs and returns for evaluating options </t>
  </si>
  <si>
    <t>for land owners and operators with expiring contracts on CRP acres.</t>
  </si>
  <si>
    <r>
      <t xml:space="preserve">In the analysis and budget sheets all </t>
    </r>
    <r>
      <rPr>
        <sz val="11"/>
        <color indexed="12"/>
        <rFont val="Arial"/>
        <family val="0"/>
      </rPr>
      <t>blue</t>
    </r>
    <r>
      <rPr>
        <sz val="11"/>
        <rFont val="Arial"/>
        <family val="0"/>
      </rPr>
      <t xml:space="preserve"> numbers are inputs and all other numbers are calculated from</t>
    </r>
  </si>
  <si>
    <t>these inputs.  The spreadsheet automatically recalculates every time an additional input is entered.</t>
  </si>
  <si>
    <t>Because of this, it is important to enter and review all data before interpreting any of the results</t>
  </si>
  <si>
    <t>DESCRIPTION OF INPUTS</t>
  </si>
  <si>
    <t>Developed by:</t>
  </si>
  <si>
    <t>Kevin L. Herbel</t>
  </si>
  <si>
    <t>Extension Farm Analyst</t>
  </si>
  <si>
    <t>Kansas State University</t>
  </si>
  <si>
    <t>kherbel@ksu.edu</t>
  </si>
  <si>
    <t>This spreadsheet was developed to serve as a tool for estimating costs and returns to allow evaluation</t>
  </si>
  <si>
    <t>INPUTS vs. CALCULATED VALUES</t>
  </si>
  <si>
    <r>
      <t xml:space="preserve">of options for land owners and operators with expiring contracts on CRP acres.  The publication </t>
    </r>
    <r>
      <rPr>
        <b/>
        <i/>
        <sz val="11"/>
        <rFont val="Arial"/>
        <family val="2"/>
      </rPr>
      <t>Decision</t>
    </r>
    <r>
      <rPr>
        <sz val="11"/>
        <rFont val="Arial"/>
        <family val="0"/>
      </rPr>
      <t xml:space="preserve">  </t>
    </r>
  </si>
  <si>
    <r>
      <t xml:space="preserve">Considerations for CRP Land </t>
    </r>
    <r>
      <rPr>
        <sz val="11"/>
        <rFont val="Arial"/>
        <family val="2"/>
      </rPr>
      <t xml:space="preserve">further describes several options available to these land owners and </t>
    </r>
  </si>
  <si>
    <t>FURTHER RESOURCES</t>
  </si>
  <si>
    <r>
      <t>Decision Considerations for CRP Land</t>
    </r>
    <r>
      <rPr>
        <sz val="11"/>
        <rFont val="Arial"/>
        <family val="2"/>
      </rPr>
      <t xml:space="preserve"> provides some explanation of options which should be</t>
    </r>
  </si>
  <si>
    <t xml:space="preserve">     considered.  It also includes a worksheet to manually analyze the options under consideration.</t>
  </si>
  <si>
    <r>
      <t>KSU Enterprise Budgeting Series</t>
    </r>
    <r>
      <rPr>
        <sz val="11"/>
        <rFont val="Arial"/>
        <family val="2"/>
      </rPr>
      <t xml:space="preserve"> includes a series of Excel spreadsheets for examining </t>
    </r>
  </si>
  <si>
    <t xml:space="preserve">     livestock enterprises for profitable use of grass lands, as well as, for completing net present</t>
  </si>
  <si>
    <t xml:space="preserve">     value analysis of options under consideration.</t>
  </si>
  <si>
    <r>
      <t>KSU Farm Management Guides</t>
    </r>
    <r>
      <rPr>
        <sz val="11"/>
        <rFont val="Arial"/>
        <family val="2"/>
      </rPr>
      <t xml:space="preserve"> provide guidance in developing crop and livestock budgets</t>
    </r>
  </si>
  <si>
    <r>
      <t xml:space="preserve">KSU-CRP HAYorGRAZE.xls </t>
    </r>
    <r>
      <rPr>
        <sz val="11"/>
        <rFont val="Arial"/>
        <family val="2"/>
      </rPr>
      <t xml:space="preserve">and </t>
    </r>
    <r>
      <rPr>
        <b/>
        <i/>
        <sz val="11"/>
        <rFont val="Arial"/>
        <family val="2"/>
      </rPr>
      <t>Estimating the Costs of Managed Haying or Grazing of</t>
    </r>
  </si>
  <si>
    <r>
      <t xml:space="preserve">     </t>
    </r>
    <r>
      <rPr>
        <b/>
        <i/>
        <sz val="11"/>
        <rFont val="Arial"/>
        <family val="2"/>
      </rPr>
      <t>CRP</t>
    </r>
    <r>
      <rPr>
        <sz val="11"/>
        <rFont val="Arial"/>
        <family val="2"/>
      </rPr>
      <t xml:space="preserve"> are a spreadsheet and paper to guide the evaluation of managed haying and grazing</t>
    </r>
  </si>
  <si>
    <t xml:space="preserve">     of land while under an existing, or continuing, CRP contract.</t>
  </si>
  <si>
    <t>www.agmanager.info</t>
  </si>
  <si>
    <t xml:space="preserve">     related topics are available at this site.</t>
  </si>
  <si>
    <t xml:space="preserve">     State University.  Further educational information and tools for various farm management and </t>
  </si>
  <si>
    <t xml:space="preserve">     to optimize profitability for Kansas farm and ranch operators.  </t>
  </si>
  <si>
    <t>Income</t>
  </si>
  <si>
    <t>Crop Sales/Other Crop Income</t>
  </si>
  <si>
    <t>Pasture Rent</t>
  </si>
  <si>
    <t>Incentive/Cost Share Payments</t>
  </si>
  <si>
    <t>Other Income</t>
  </si>
  <si>
    <t>Expenses</t>
  </si>
  <si>
    <t>Crop Production Expenses</t>
  </si>
  <si>
    <t>CRP Maintenance Costs</t>
  </si>
  <si>
    <t>Fencing</t>
  </si>
  <si>
    <t>Water Source Development</t>
  </si>
  <si>
    <t>Property Taxes</t>
  </si>
  <si>
    <t>Other Expenses</t>
  </si>
  <si>
    <t xml:space="preserve">operators.  Using this spreadsheet will facilitate making sound financial decisions as the user inputs the </t>
  </si>
  <si>
    <t>Crop Rent</t>
  </si>
  <si>
    <t>Return Land to Crop Production</t>
  </si>
  <si>
    <t>Enter another option here</t>
  </si>
  <si>
    <t>Adjustment for value provided by resource</t>
  </si>
  <si>
    <t xml:space="preserve">    conservation and preservation:</t>
  </si>
  <si>
    <t>Crop/System</t>
  </si>
  <si>
    <t>Wheat</t>
  </si>
  <si>
    <t>Soybeans</t>
  </si>
  <si>
    <t>Corn</t>
  </si>
  <si>
    <t>Soybean</t>
  </si>
  <si>
    <t>Rotation1</t>
  </si>
  <si>
    <t>Rotation2</t>
  </si>
  <si>
    <t>Rotation (1 or 2, if none enter 0)</t>
  </si>
  <si>
    <t>Percent of rotation (total - 100%)</t>
  </si>
  <si>
    <t>INCOME PER ACRE</t>
  </si>
  <si>
    <t>A. Yield per acre</t>
  </si>
  <si>
    <t xml:space="preserve">---  </t>
  </si>
  <si>
    <t>B. Price per unit</t>
  </si>
  <si>
    <t>C. Net government payments</t>
  </si>
  <si>
    <t>D. Indemnity payments</t>
  </si>
  <si>
    <t>E. Miscellaneous income</t>
  </si>
  <si>
    <t>F. Returns/acre ((A x B) + C + D  + E)</t>
  </si>
  <si>
    <t>COSTS PER ACRE</t>
  </si>
  <si>
    <t xml:space="preserve">  1. Seed </t>
  </si>
  <si>
    <t xml:space="preserve">  2. Herbicide</t>
  </si>
  <si>
    <t xml:space="preserve">  3. Insecticide / Fungicide</t>
  </si>
  <si>
    <t xml:space="preserve">  4. Fertilizer and Lime</t>
  </si>
  <si>
    <t xml:space="preserve">  5. Crop Consulting</t>
  </si>
  <si>
    <t xml:space="preserve">  6. Crop Insurance</t>
  </si>
  <si>
    <t xml:space="preserve">  7. Drying</t>
  </si>
  <si>
    <t xml:space="preserve">  8. Miscellaneous</t>
  </si>
  <si>
    <t xml:space="preserve">  9. Machinery Expense</t>
  </si>
  <si>
    <t>10. Non-machinery Labor</t>
  </si>
  <si>
    <t>11. Irrigation</t>
  </si>
  <si>
    <t>12. Land Charge / Rent</t>
  </si>
  <si>
    <t>G. SUB TOTAL</t>
  </si>
  <si>
    <t>13. Interest on 1/2 Nonland Costs</t>
  </si>
  <si>
    <t>H. TOTAL COSTS</t>
  </si>
  <si>
    <t>I. RETURNS OVER COSTS (F - H)</t>
  </si>
  <si>
    <t>J. TOTAL COSTS/UNIT (H/A)</t>
  </si>
  <si>
    <t>K. RETURN TO ANNUAL COST (I+13)/G</t>
  </si>
  <si>
    <t>TABLE 1. Production Inputs Used for Budgets</t>
  </si>
  <si>
    <t xml:space="preserve">              ITEM</t>
  </si>
  <si>
    <t>$/unit</t>
  </si>
  <si>
    <t>Seeding rate (lbs, seeds, etc)</t>
  </si>
  <si>
    <t>Seed price, $/unit</t>
  </si>
  <si>
    <t>Fertilizer:</t>
  </si>
  <si>
    <t>82-0-0</t>
  </si>
  <si>
    <t>/lb</t>
  </si>
  <si>
    <t>N (dry/liquid)</t>
  </si>
  <si>
    <t>P</t>
  </si>
  <si>
    <t>K</t>
  </si>
  <si>
    <t>Lime</t>
  </si>
  <si>
    <t>Herbicide</t>
  </si>
  <si>
    <t>Finesse</t>
  </si>
  <si>
    <t>/oz</t>
  </si>
  <si>
    <t>Bicep II Magnum</t>
  </si>
  <si>
    <t>/qt</t>
  </si>
  <si>
    <t>Spirit</t>
  </si>
  <si>
    <t>/pt</t>
  </si>
  <si>
    <t>Roundup Ultra</t>
  </si>
  <si>
    <t>2% ammonium sulfate</t>
  </si>
  <si>
    <t>xxx</t>
  </si>
  <si>
    <t>Insecticide / Fungicide</t>
  </si>
  <si>
    <t>Irrigation water, inches/acre</t>
  </si>
  <si>
    <t>/in</t>
  </si>
  <si>
    <t>Irrigation repairs, $/acre-inch</t>
  </si>
  <si>
    <t>Drying cost, $/unit (bu, cwt, etc)</t>
  </si>
  <si>
    <t>TABLE 2. Machinery and Land Resources Used for Budgets</t>
  </si>
  <si>
    <t>Drill/Plant, $/acre</t>
  </si>
  <si>
    <t>Tillage and Chemical Applications:</t>
  </si>
  <si>
    <t>Chisel</t>
  </si>
  <si>
    <t>/ac</t>
  </si>
  <si>
    <t>Disk</t>
  </si>
  <si>
    <t>Field cultivate</t>
  </si>
  <si>
    <t>Sweep</t>
  </si>
  <si>
    <t>Anhydrous application</t>
  </si>
  <si>
    <t>Fertilizer application</t>
  </si>
  <si>
    <t>Herbicide application</t>
  </si>
  <si>
    <t>Insecticide/fungicide application</t>
  </si>
  <si>
    <t>Harvest</t>
  </si>
  <si>
    <t>Base charge, $/acre</t>
  </si>
  <si>
    <t>Charge for high yields, $/unit</t>
  </si>
  <si>
    <t>High yield</t>
  </si>
  <si>
    <t>Hauling, $/unit</t>
  </si>
  <si>
    <t>Non-machinery labor, hr/acre</t>
  </si>
  <si>
    <t>/hr</t>
  </si>
  <si>
    <t>Irrigation labor, hr/acre</t>
  </si>
  <si>
    <t>Land value, $/acre</t>
  </si>
  <si>
    <t>Interest on capital, %</t>
  </si>
  <si>
    <t>Irrigation Equipment</t>
  </si>
  <si>
    <t>Investment, $/ac</t>
  </si>
  <si>
    <t>Years</t>
  </si>
  <si>
    <t>Salvage value, %</t>
  </si>
  <si>
    <t>Well, pump and gearhead value</t>
  </si>
  <si>
    <t>n/a</t>
  </si>
  <si>
    <t>Power unit and meter</t>
  </si>
  <si>
    <t>Irrigation system</t>
  </si>
  <si>
    <t>Non yield related cost/acre</t>
  </si>
  <si>
    <t>Marginal cost/unit of yield</t>
  </si>
  <si>
    <t>Total cost/acre</t>
  </si>
  <si>
    <t>Breakdown of irrigation expenses</t>
  </si>
  <si>
    <t xml:space="preserve">      a. Labor</t>
  </si>
  <si>
    <t xml:space="preserve">      b. Fuel and oil</t>
  </si>
  <si>
    <t xml:space="preserve">      c. Repair and Maintenance</t>
  </si>
  <si>
    <t xml:space="preserve">      d. Depreciation</t>
  </si>
  <si>
    <t xml:space="preserve">      e. Interest</t>
  </si>
  <si>
    <t>Total</t>
  </si>
  <si>
    <t>Crop</t>
  </si>
  <si>
    <t>Rotation 1</t>
  </si>
  <si>
    <t>C. Net government payment</t>
  </si>
  <si>
    <t>INTRODUCTION</t>
  </si>
  <si>
    <t>INSTRUCTIONS</t>
  </si>
  <si>
    <t>Leave Land in Grass to Hay or Graze</t>
  </si>
  <si>
    <t>(Interest Rate)</t>
  </si>
  <si>
    <t>Number of Periods----------------------</t>
  </si>
  <si>
    <t>Projected Income</t>
  </si>
  <si>
    <t>Present Value</t>
  </si>
  <si>
    <t>Period</t>
  </si>
  <si>
    <t xml:space="preserve">      Change      </t>
  </si>
  <si>
    <t>Income Change</t>
  </si>
  <si>
    <t>Projected Cost</t>
  </si>
  <si>
    <t xml:space="preserve">          Cost         </t>
  </si>
  <si>
    <t>Net Cash Flow</t>
  </si>
  <si>
    <t xml:space="preserve">   Cash Flow   </t>
  </si>
  <si>
    <t>Net Present Value</t>
  </si>
  <si>
    <t>IRR</t>
  </si>
  <si>
    <t>ANALYSIS SUMMARY</t>
  </si>
  <si>
    <t>Internal Rate of Return</t>
  </si>
  <si>
    <t>Benefit/Cost Ratio</t>
  </si>
  <si>
    <t>ANALYSIS PER UNIT</t>
  </si>
  <si>
    <t>SENSITIVITY ANALYSIS TABLE</t>
  </si>
  <si>
    <t>10% less</t>
  </si>
  <si>
    <t>10% increase</t>
  </si>
  <si>
    <t>10% decrease</t>
  </si>
  <si>
    <t>10% greater</t>
  </si>
  <si>
    <t>Number of Units (head #, acres, etc.)</t>
  </si>
  <si>
    <t>income change</t>
  </si>
  <si>
    <t xml:space="preserve">     in cost     </t>
  </si>
  <si>
    <t>Per Unit</t>
  </si>
  <si>
    <t>Present Value Income Change / Unit</t>
  </si>
  <si>
    <t>Present Value Cost / Unit</t>
  </si>
  <si>
    <t>Net Present Value / Unit</t>
  </si>
  <si>
    <t>Per Unit / Period</t>
  </si>
  <si>
    <t>Avg. Present Value Income Change / Unit / Period</t>
  </si>
  <si>
    <t>Avg. Present Value Cost / Unit / Period</t>
  </si>
  <si>
    <t>Avg. Net Present Value / Unit / Period</t>
  </si>
  <si>
    <t>Net Present Value Analysis</t>
  </si>
  <si>
    <t>Discount Rate / Period-----------------</t>
  </si>
  <si>
    <t>A Budgeting Tool for Comparing Management Alternatives</t>
  </si>
  <si>
    <t>Machinery Expense</t>
  </si>
  <si>
    <t>Labor Expense</t>
  </si>
  <si>
    <t>Annualized Costs:</t>
  </si>
  <si>
    <t>CRP Establishment or Improvement</t>
  </si>
  <si>
    <t>CRP Removal</t>
  </si>
  <si>
    <t>CRP Rental Payment (new or renewal)</t>
  </si>
  <si>
    <t>Economic Analysis of Options for Land with New or Expiring CRP Contract</t>
  </si>
  <si>
    <r>
      <t xml:space="preserve">Renewal in CRP </t>
    </r>
    <r>
      <rPr>
        <sz val="8"/>
        <rFont val="Arial"/>
        <family val="2"/>
      </rPr>
      <t>(or new CRP Contract)</t>
    </r>
  </si>
  <si>
    <t>Rented out for Hay/Graze/Crop</t>
  </si>
  <si>
    <t>User Name:</t>
  </si>
  <si>
    <t>Date and Time of Analysis:</t>
  </si>
  <si>
    <t>Farm or Individual Name</t>
  </si>
  <si>
    <t>Johnson Place SW4 9-19-2</t>
  </si>
  <si>
    <t>Legal Description and/or Name of Farm Unit:</t>
  </si>
  <si>
    <t xml:space="preserve">     TOTAL INCOME PER ACRE</t>
  </si>
  <si>
    <t xml:space="preserve">     TOTAL EXPENSE PER ACRE</t>
  </si>
  <si>
    <t>Number of Acres Considered</t>
  </si>
  <si>
    <t>Net Economic Return Per Acre</t>
  </si>
  <si>
    <t>ADJUSTED TOTAL RETURN</t>
  </si>
  <si>
    <t>Sensitivity Analysis:</t>
  </si>
  <si>
    <t>Increase Crop Income by 10%</t>
  </si>
  <si>
    <t>Decrease Crop Income by 10%</t>
  </si>
  <si>
    <t>Increase Conservation Value by 10%</t>
  </si>
  <si>
    <t>Decrease Conservation Value by 10%</t>
  </si>
  <si>
    <t>Increase Crop Expense by 10%</t>
  </si>
  <si>
    <t>Decrease Crop Expense by 10%</t>
  </si>
  <si>
    <t>TOTAL ECONOMIC RETURN</t>
  </si>
  <si>
    <t>Haying/Grazing Income</t>
  </si>
  <si>
    <t>Haying/Grazing Production Expenses</t>
  </si>
  <si>
    <t>Increase Haying/Grazing Income by 10%</t>
  </si>
  <si>
    <t>Decrease Haying/Grazing Income by 10%</t>
  </si>
  <si>
    <t>Increase Haying/Grazing Expense by 10%</t>
  </si>
  <si>
    <t>Decrease Haying/Grazing Expense by 10%</t>
  </si>
  <si>
    <t>Milo</t>
  </si>
  <si>
    <t xml:space="preserve">specific figures for the situation being considered.  Following are specific instructions for the use of this </t>
  </si>
  <si>
    <t>spreadsheet.</t>
  </si>
  <si>
    <r>
      <t xml:space="preserve">Several of the cells have a </t>
    </r>
    <r>
      <rPr>
        <sz val="11"/>
        <color indexed="10"/>
        <rFont val="Arial"/>
        <family val="2"/>
      </rPr>
      <t>red diamond</t>
    </r>
    <r>
      <rPr>
        <sz val="11"/>
        <rFont val="Arial"/>
        <family val="0"/>
      </rPr>
      <t xml:space="preserve"> in the upper right had corner of the cell.  By moving your</t>
    </r>
  </si>
  <si>
    <t>mouse cursor over this diamond, a brief description of the input will be displayed on the screen.</t>
  </si>
  <si>
    <t>If the comments do not appear, go to View / Comments on the Excel menu.</t>
  </si>
  <si>
    <t>Rotation 2</t>
  </si>
  <si>
    <t>Other Annualized Expense</t>
  </si>
  <si>
    <t>Discount Rate / Period</t>
  </si>
  <si>
    <t>Number of Periods</t>
  </si>
  <si>
    <t>Investment Amount</t>
  </si>
  <si>
    <t>Annualized Cost/Unit =</t>
  </si>
  <si>
    <t>Annualized Cost        =</t>
  </si>
  <si>
    <t>Annualized Cost Analysis</t>
  </si>
  <si>
    <t>This crop budgets sheet was adapted for use here from one originally created by Kevin Dhuyvetter and Troy Dumler, Extension Agricultural Economists, K-State Research and Extension.</t>
  </si>
  <si>
    <t>Number of Units (acres, head #, etc)</t>
  </si>
  <si>
    <t>Rent out for Crop Production</t>
  </si>
  <si>
    <t>12. Land Charge / Property Tax</t>
  </si>
  <si>
    <t xml:space="preserve">Use this spreadsheet to compute the annualized cost of a management alternative.  Make the appropriate entries for interest rate, </t>
  </si>
  <si>
    <t>period of time, units and total investment amount in the blue cells.</t>
  </si>
  <si>
    <t>Extension Livestock Economist</t>
  </si>
  <si>
    <t>jonesrd@agecon.ksu.edu</t>
  </si>
  <si>
    <t>Rodney D. Jones</t>
  </si>
  <si>
    <t xml:space="preserve">                                                                              is the website of the Department of Agricultural Economics at Kansas</t>
  </si>
  <si>
    <t>Version -- 08.31.06</t>
  </si>
  <si>
    <t>calculated by the spreadsheet (i.e., the black numbers).  In some of the cells example numbers have</t>
  </si>
  <si>
    <t>been entered.  Be sure your analysis only includes numbers that you have entered and apply to your</t>
  </si>
  <si>
    <t>specific situation.</t>
  </si>
  <si>
    <t>Funded in part through the Kansas Department of Health and Environment by U.S. EPA Section 319 Funds.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</si>
</sst>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d/yy\ h:mm\ AM/PM;@"/>
    <numFmt numFmtId="166" formatCode="mm/dd/yy_)"/>
    <numFmt numFmtId="167" formatCode="0.0%"/>
    <numFmt numFmtId="168" formatCode="&quot;$&quot;#,##0.000_);\(&quot;$&quot;#,##0.000\)"/>
    <numFmt numFmtId="169" formatCode="0.00_)"/>
    <numFmt numFmtId="170" formatCode="0_)"/>
    <numFmt numFmtId="171" formatCode="0.0_)"/>
    <numFmt numFmtId="172" formatCode="&quot;$&quot;#,##0.00"/>
    <numFmt numFmtId="173" formatCode="#,##0.0_);\(#,##0.0\)"/>
    <numFmt numFmtId="174" formatCode="&quot;$&quot;#,##0.000"/>
    <numFmt numFmtId="175" formatCode="&quot;$&quot;#,##0.0000_);\(&quot;$&quot;#,##0.0000\)"/>
    <numFmt numFmtId="176" formatCode="&quot;$&quot;#,##0.0_);\(&quot;$&quot;#,##0.0\)"/>
    <numFmt numFmtId="177" formatCode="0.000_)"/>
    <numFmt numFmtId="178" formatCode="0.0000_)"/>
    <numFmt numFmtId="179" formatCode="0.00_);\(0.00\)"/>
    <numFmt numFmtId="180" formatCode="0.0"/>
    <numFmt numFmtId="181" formatCode="_(* #,##0.0_);_(* \(#,##0.0\);_(* &quot;-&quot;??_);_(@_)"/>
    <numFmt numFmtId="182" formatCode="_(* #,##0_);_(* \(#,##0\);_(* &quot;-&quot;??_);_(@_)"/>
    <numFmt numFmtId="183" formatCode="0.000"/>
    <numFmt numFmtId="184" formatCode="&quot;$&quot;#,##0"/>
    <numFmt numFmtId="185" formatCode="#,##0.0"/>
    <numFmt numFmtId="186" formatCode="_(* #,##0.000_);_(* \(#,##0.000\);_(* &quot;-&quot;??_);_(@_)"/>
    <numFmt numFmtId="187" formatCode="0.0000000"/>
    <numFmt numFmtId="188" formatCode="0.000000"/>
    <numFmt numFmtId="189" formatCode="0.00000"/>
    <numFmt numFmtId="190" formatCode="0.0000"/>
    <numFmt numFmtId="191" formatCode="&quot;$&quot;#,##0.0"/>
    <numFmt numFmtId="192" formatCode="&quot;$&quot;#,##0.0000"/>
    <numFmt numFmtId="193" formatCode="#,##0.000"/>
    <numFmt numFmtId="194" formatCode="#,##0.0000"/>
    <numFmt numFmtId="195" formatCode="#,##0.0_);[Red]\(#,##0.0\)"/>
    <numFmt numFmtId="196" formatCode="General_);[Red]\-General_)"/>
    <numFmt numFmtId="197" formatCode="0.00_);[Red]\-0.00_)"/>
    <numFmt numFmtId="198" formatCode="0.0_);[Red]\-0.0_)"/>
    <numFmt numFmtId="199" formatCode="&quot;$&quot;#,##0.000_);[Red]\(&quot;$&quot;#,##0.000\)"/>
    <numFmt numFmtId="200" formatCode="0.00_);[Red]\(0.00\)"/>
    <numFmt numFmtId="201" formatCode="#,##0.000_);[Red]\(#,##0.000\)"/>
    <numFmt numFmtId="202" formatCode="#,##0.0000_);[Red]\(#,##0.0000\)"/>
    <numFmt numFmtId="203" formatCode="#,##0.00000_);[Red]\(#,##0.00000\)"/>
    <numFmt numFmtId="204" formatCode="0.0_);[Red]\(0.0\)"/>
    <numFmt numFmtId="205" formatCode="0.000_);[Red]\(0.000\)"/>
    <numFmt numFmtId="206" formatCode="0.0000_);[Red]\(0.0000\)"/>
    <numFmt numFmtId="207" formatCode="0.00000_);[Red]\(0.00000\)"/>
    <numFmt numFmtId="208" formatCode="&quot;$&quot;#,##0.0000_);[Red]\(&quot;$&quot;#,##0.0000\)"/>
    <numFmt numFmtId="209" formatCode="&quot;$&quot;#,##0.0_);[Red]\(&quot;$&quot;#,##0.0\)"/>
    <numFmt numFmtId="210" formatCode="&quot;$&quot;#,##0.00000_);[Red]\(&quot;$&quot;#,##0.00000\)"/>
    <numFmt numFmtId="211" formatCode="&quot;$&quot;#,##0.000000_);[Red]\(&quot;$&quot;#,##0.000000\)"/>
    <numFmt numFmtId="212" formatCode="General;[Red]\-General"/>
    <numFmt numFmtId="213" formatCode=";;;"/>
    <numFmt numFmtId="214" formatCode="0_);\(0\)"/>
    <numFmt numFmtId="215" formatCode="0.0_);\(0.0\)"/>
  </numFmts>
  <fonts count="52">
    <font>
      <sz val="10"/>
      <name val="Arial"/>
      <family val="0"/>
    </font>
    <font>
      <b/>
      <i/>
      <sz val="10"/>
      <color indexed="20"/>
      <name val="Arial"/>
      <family val="2"/>
    </font>
    <font>
      <sz val="8"/>
      <name val="Arial"/>
      <family val="0"/>
    </font>
    <font>
      <b/>
      <sz val="12"/>
      <name val="Arial"/>
      <family val="2"/>
    </font>
    <font>
      <i/>
      <sz val="20"/>
      <color indexed="20"/>
      <name val="Arial"/>
      <family val="2"/>
    </font>
    <font>
      <b/>
      <i/>
      <sz val="18"/>
      <name val="Arial"/>
      <family val="2"/>
    </font>
    <font>
      <u val="single"/>
      <sz val="12"/>
      <name val="Arial"/>
      <family val="0"/>
    </font>
    <font>
      <sz val="11"/>
      <name val="Arial"/>
      <family val="0"/>
    </font>
    <font>
      <sz val="11"/>
      <color indexed="12"/>
      <name val="Arial"/>
      <family val="0"/>
    </font>
    <font>
      <sz val="11"/>
      <color indexed="10"/>
      <name val="Arial"/>
      <family val="2"/>
    </font>
    <font>
      <u val="single"/>
      <sz val="10"/>
      <color indexed="12"/>
      <name val="Arial"/>
      <family val="0"/>
    </font>
    <font>
      <u val="single"/>
      <sz val="11"/>
      <color indexed="12"/>
      <name val="Arial"/>
      <family val="0"/>
    </font>
    <font>
      <b/>
      <i/>
      <sz val="11"/>
      <name val="Arial"/>
      <family val="2"/>
    </font>
    <font>
      <u val="single"/>
      <sz val="10"/>
      <color indexed="36"/>
      <name val="Arial"/>
      <family val="0"/>
    </font>
    <font>
      <b/>
      <i/>
      <u val="single"/>
      <sz val="11"/>
      <color indexed="12"/>
      <name val="Arial"/>
      <family val="2"/>
    </font>
    <font>
      <i/>
      <sz val="18"/>
      <name val="Arial"/>
      <family val="2"/>
    </font>
    <font>
      <b/>
      <sz val="16"/>
      <name val="Arial"/>
      <family val="2"/>
    </font>
    <font>
      <sz val="14"/>
      <name val="Arial"/>
      <family val="2"/>
    </font>
    <font>
      <i/>
      <u val="single"/>
      <sz val="12"/>
      <name val="Arial"/>
      <family val="2"/>
    </font>
    <font>
      <i/>
      <sz val="9"/>
      <name val="Arial"/>
      <family val="2"/>
    </font>
    <font>
      <sz val="9"/>
      <name val="Arial"/>
      <family val="0"/>
    </font>
    <font>
      <sz val="9"/>
      <color indexed="12"/>
      <name val="Arial"/>
      <family val="0"/>
    </font>
    <font>
      <sz val="12"/>
      <name val="Arial"/>
      <family val="2"/>
    </font>
    <font>
      <sz val="10"/>
      <name val="TimesNewRomanPS"/>
      <family val="0"/>
    </font>
    <font>
      <b/>
      <sz val="10"/>
      <name val="Arial"/>
      <family val="2"/>
    </font>
    <font>
      <b/>
      <sz val="10"/>
      <color indexed="12"/>
      <name val="Arial"/>
      <family val="2"/>
    </font>
    <font>
      <b/>
      <i/>
      <sz val="10"/>
      <color indexed="10"/>
      <name val="Arial"/>
      <family val="2"/>
    </font>
    <font>
      <b/>
      <sz val="10"/>
      <color indexed="9"/>
      <name val="Arial"/>
      <family val="2"/>
    </font>
    <font>
      <b/>
      <u val="single"/>
      <sz val="10"/>
      <name val="Arial"/>
      <family val="2"/>
    </font>
    <font>
      <b/>
      <sz val="10"/>
      <color indexed="8"/>
      <name val="Arial"/>
      <family val="2"/>
    </font>
    <font>
      <sz val="8"/>
      <name val="Tahoma"/>
      <family val="2"/>
    </font>
    <font>
      <b/>
      <sz val="9"/>
      <name val="Arial"/>
      <family val="2"/>
    </font>
    <font>
      <b/>
      <i/>
      <sz val="10"/>
      <name val="Arial"/>
      <family val="2"/>
    </font>
    <font>
      <b/>
      <i/>
      <u val="single"/>
      <sz val="10"/>
      <name val="Arial"/>
      <family val="2"/>
    </font>
    <font>
      <u val="single"/>
      <sz val="10"/>
      <name val="Arial"/>
      <family val="2"/>
    </font>
    <font>
      <sz val="12"/>
      <name val="TimesNewRomanPS"/>
      <family val="0"/>
    </font>
    <font>
      <sz val="8"/>
      <name val="TimesNewRomanPS"/>
      <family val="0"/>
    </font>
    <font>
      <i/>
      <sz val="14"/>
      <name val="TimesNewRomanPS"/>
      <family val="0"/>
    </font>
    <font>
      <b/>
      <i/>
      <sz val="24"/>
      <name val="TimesNewRomanPS"/>
      <family val="0"/>
    </font>
    <font>
      <b/>
      <sz val="9"/>
      <color indexed="12"/>
      <name val="Arial"/>
      <family val="2"/>
    </font>
    <font>
      <sz val="10"/>
      <color indexed="12"/>
      <name val="Arial"/>
      <family val="0"/>
    </font>
    <font>
      <i/>
      <sz val="10"/>
      <name val="Arial"/>
      <family val="2"/>
    </font>
    <font>
      <i/>
      <u val="single"/>
      <sz val="10"/>
      <name val="Arial"/>
      <family val="2"/>
    </font>
    <font>
      <sz val="10"/>
      <color indexed="20"/>
      <name val="Arial"/>
      <family val="0"/>
    </font>
    <font>
      <b/>
      <i/>
      <sz val="12"/>
      <color indexed="20"/>
      <name val="Arial"/>
      <family val="0"/>
    </font>
    <font>
      <i/>
      <sz val="8"/>
      <name val="Arial"/>
      <family val="0"/>
    </font>
    <font>
      <b/>
      <sz val="8"/>
      <name val="Arial"/>
      <family val="2"/>
    </font>
    <font>
      <b/>
      <i/>
      <sz val="12"/>
      <name val="Arial"/>
      <family val="2"/>
    </font>
    <font>
      <sz val="9"/>
      <name val="Tahoma"/>
      <family val="2"/>
    </font>
    <font>
      <b/>
      <i/>
      <sz val="9"/>
      <name val="Tahoma"/>
      <family val="2"/>
    </font>
    <font>
      <b/>
      <i/>
      <sz val="10"/>
      <color indexed="12"/>
      <name val="Arial"/>
      <family val="2"/>
    </font>
    <font>
      <i/>
      <sz val="9"/>
      <name val="Tahom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gray0625"/>
    </fill>
    <fill>
      <patternFill patternType="solid">
        <fgColor indexed="65"/>
        <bgColor indexed="64"/>
      </patternFill>
    </fill>
    <fill>
      <patternFill patternType="solid">
        <fgColor indexed="44"/>
        <bgColor indexed="64"/>
      </patternFill>
    </fill>
    <fill>
      <patternFill patternType="solid">
        <fgColor indexed="44"/>
        <bgColor indexed="64"/>
      </patternFill>
    </fill>
    <fill>
      <patternFill patternType="solid">
        <fgColor indexed="31"/>
        <bgColor indexed="64"/>
      </patternFill>
    </fill>
  </fills>
  <borders count="3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dashDotDo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DotDot"/>
      <top>
        <color indexed="63"/>
      </top>
      <bottom style="thin"/>
    </border>
    <border>
      <left style="dashDotDo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23" fillId="0" borderId="0">
      <alignment/>
      <protection/>
    </xf>
    <xf numFmtId="9" fontId="0" fillId="0" borderId="0" applyFont="0" applyFill="0" applyBorder="0" applyAlignment="0" applyProtection="0"/>
  </cellStyleXfs>
  <cellXfs count="287">
    <xf numFmtId="0" fontId="0" fillId="0" borderId="0" xfId="0" applyAlignment="1">
      <alignment/>
    </xf>
    <xf numFmtId="0" fontId="0" fillId="2" borderId="0" xfId="0" applyFill="1" applyBorder="1" applyAlignment="1">
      <alignment/>
    </xf>
    <xf numFmtId="0" fontId="3" fillId="0" borderId="0" xfId="0" applyFon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1" fillId="2" borderId="7" xfId="0" applyFont="1" applyFill="1" applyBorder="1" applyAlignment="1">
      <alignment/>
    </xf>
    <xf numFmtId="0" fontId="0" fillId="2" borderId="7" xfId="0" applyFill="1" applyBorder="1" applyAlignment="1">
      <alignment/>
    </xf>
    <xf numFmtId="0" fontId="0" fillId="2" borderId="8" xfId="0" applyFill="1" applyBorder="1" applyAlignment="1">
      <alignment/>
    </xf>
    <xf numFmtId="0" fontId="4" fillId="2" borderId="0" xfId="0" applyFont="1" applyFill="1" applyBorder="1" applyAlignment="1">
      <alignment/>
    </xf>
    <xf numFmtId="0" fontId="5" fillId="2" borderId="0" xfId="0" applyFont="1" applyFill="1" applyBorder="1" applyAlignment="1">
      <alignment/>
    </xf>
    <xf numFmtId="0" fontId="3" fillId="2" borderId="0" xfId="0" applyFont="1" applyFill="1" applyBorder="1" applyAlignment="1">
      <alignment/>
    </xf>
    <xf numFmtId="0" fontId="6" fillId="0" borderId="0" xfId="0" applyFont="1" applyAlignment="1">
      <alignment/>
    </xf>
    <xf numFmtId="0" fontId="7" fillId="0" borderId="0" xfId="0" applyFont="1" applyAlignment="1">
      <alignment/>
    </xf>
    <xf numFmtId="0" fontId="11" fillId="0" borderId="0" xfId="20" applyFont="1" applyAlignment="1">
      <alignment/>
    </xf>
    <xf numFmtId="0" fontId="12" fillId="0" borderId="0" xfId="0" applyFont="1" applyAlignment="1">
      <alignment/>
    </xf>
    <xf numFmtId="0" fontId="7" fillId="0" borderId="0" xfId="0" applyFont="1" applyAlignment="1">
      <alignment/>
    </xf>
    <xf numFmtId="0" fontId="14" fillId="0" borderId="0" xfId="20" applyFont="1" applyAlignment="1">
      <alignment/>
    </xf>
    <xf numFmtId="0" fontId="7" fillId="0" borderId="0" xfId="0" applyFont="1" applyAlignment="1">
      <alignment horizontal="centerContinuous"/>
    </xf>
    <xf numFmtId="0" fontId="18" fillId="0" borderId="0" xfId="0" applyFont="1" applyAlignment="1">
      <alignment/>
    </xf>
    <xf numFmtId="0" fontId="19" fillId="0" borderId="0" xfId="0" applyFont="1" applyAlignment="1">
      <alignment horizontal="right"/>
    </xf>
    <xf numFmtId="0" fontId="15" fillId="0" borderId="0" xfId="0" applyFont="1" applyAlignment="1">
      <alignment horizontal="centerContinuous"/>
    </xf>
    <xf numFmtId="0" fontId="0" fillId="0" borderId="0" xfId="0" applyAlignment="1">
      <alignment horizontal="centerContinuous"/>
    </xf>
    <xf numFmtId="165" fontId="19" fillId="0" borderId="0" xfId="0" applyNumberFormat="1" applyFont="1" applyAlignment="1">
      <alignment horizontal="center"/>
    </xf>
    <xf numFmtId="0" fontId="24" fillId="0" borderId="0" xfId="21" applyFont="1" applyFill="1" applyProtection="1">
      <alignment/>
      <protection/>
    </xf>
    <xf numFmtId="0" fontId="24" fillId="0" borderId="0" xfId="21" applyNumberFormat="1" applyFont="1" applyFill="1" applyAlignment="1" applyProtection="1">
      <alignment/>
      <protection/>
    </xf>
    <xf numFmtId="0" fontId="25" fillId="0" borderId="9" xfId="21" applyFont="1" applyFill="1" applyBorder="1" applyAlignment="1" applyProtection="1">
      <alignment horizontal="right"/>
      <protection locked="0"/>
    </xf>
    <xf numFmtId="0" fontId="24" fillId="0" borderId="9" xfId="21" applyFont="1" applyFill="1" applyBorder="1" applyProtection="1">
      <alignment/>
      <protection/>
    </xf>
    <xf numFmtId="0" fontId="24" fillId="0" borderId="9" xfId="21" applyFont="1" applyFill="1" applyBorder="1" applyAlignment="1" applyProtection="1">
      <alignment horizontal="right"/>
      <protection/>
    </xf>
    <xf numFmtId="0" fontId="24" fillId="0" borderId="0" xfId="21" applyFont="1" applyFill="1" applyBorder="1" applyAlignment="1" applyProtection="1">
      <alignment/>
      <protection/>
    </xf>
    <xf numFmtId="0" fontId="25" fillId="0" borderId="0" xfId="21" applyFont="1" applyFill="1" applyBorder="1" applyProtection="1">
      <alignment/>
      <protection locked="0"/>
    </xf>
    <xf numFmtId="0" fontId="24" fillId="0" borderId="0" xfId="21" applyFont="1" applyFill="1" applyBorder="1" applyProtection="1">
      <alignment/>
      <protection/>
    </xf>
    <xf numFmtId="0" fontId="24" fillId="0" borderId="10" xfId="21" applyFont="1" applyFill="1" applyBorder="1" applyAlignment="1" applyProtection="1">
      <alignment/>
      <protection/>
    </xf>
    <xf numFmtId="9" fontId="25" fillId="0" borderId="10" xfId="21" applyNumberFormat="1" applyFont="1" applyFill="1" applyBorder="1" applyProtection="1">
      <alignment/>
      <protection locked="0"/>
    </xf>
    <xf numFmtId="0" fontId="24" fillId="0" borderId="10" xfId="21" applyFont="1" applyFill="1" applyBorder="1" applyProtection="1">
      <alignment/>
      <protection/>
    </xf>
    <xf numFmtId="9" fontId="24" fillId="0" borderId="10" xfId="21" applyNumberFormat="1" applyFont="1" applyFill="1" applyBorder="1" applyProtection="1">
      <alignment/>
      <protection/>
    </xf>
    <xf numFmtId="0" fontId="26" fillId="0" borderId="0" xfId="21" applyFont="1" applyFill="1" applyBorder="1" applyProtection="1" quotePrefix="1">
      <alignment/>
      <protection/>
    </xf>
    <xf numFmtId="0" fontId="26" fillId="0" borderId="0" xfId="21" applyFont="1" applyFill="1" applyBorder="1" applyProtection="1">
      <alignment/>
      <protection/>
    </xf>
    <xf numFmtId="0" fontId="24" fillId="0" borderId="0" xfId="21" applyFont="1" applyFill="1" applyAlignment="1" applyProtection="1">
      <alignment/>
      <protection/>
    </xf>
    <xf numFmtId="0" fontId="27" fillId="0" borderId="0" xfId="21" applyNumberFormat="1" applyFont="1" applyFill="1" applyAlignment="1" applyProtection="1">
      <alignment horizontal="center"/>
      <protection/>
    </xf>
    <xf numFmtId="0" fontId="28" fillId="0" borderId="0" xfId="21" applyFont="1" applyFill="1" applyAlignment="1" applyProtection="1">
      <alignment horizontal="right"/>
      <protection/>
    </xf>
    <xf numFmtId="195" fontId="25" fillId="0" borderId="0" xfId="21" applyNumberFormat="1" applyFont="1" applyFill="1" applyProtection="1">
      <alignment/>
      <protection locked="0"/>
    </xf>
    <xf numFmtId="173" fontId="25" fillId="0" borderId="0" xfId="21" applyNumberFormat="1" applyFont="1" applyFill="1" applyBorder="1" applyAlignment="1" applyProtection="1">
      <alignment horizontal="right"/>
      <protection/>
    </xf>
    <xf numFmtId="7" fontId="28" fillId="0" borderId="0" xfId="21" applyNumberFormat="1" applyFont="1" applyFill="1" applyAlignment="1" applyProtection="1">
      <alignment horizontal="right"/>
      <protection/>
    </xf>
    <xf numFmtId="0" fontId="24" fillId="0" borderId="0" xfId="21" applyFont="1" applyFill="1" applyAlignment="1" applyProtection="1" quotePrefix="1">
      <alignment horizontal="right"/>
      <protection/>
    </xf>
    <xf numFmtId="8" fontId="25" fillId="0" borderId="0" xfId="21" applyNumberFormat="1" applyFont="1" applyFill="1" applyProtection="1">
      <alignment/>
      <protection locked="0"/>
    </xf>
    <xf numFmtId="7" fontId="25" fillId="0" borderId="0" xfId="21" applyNumberFormat="1" applyFont="1" applyFill="1" applyBorder="1" applyAlignment="1" applyProtection="1">
      <alignment horizontal="right"/>
      <protection/>
    </xf>
    <xf numFmtId="8" fontId="24" fillId="0" borderId="0" xfId="21" applyNumberFormat="1" applyFont="1" applyFill="1" applyAlignment="1" applyProtection="1">
      <alignment horizontal="right"/>
      <protection/>
    </xf>
    <xf numFmtId="8" fontId="24" fillId="0" borderId="0" xfId="21" applyNumberFormat="1" applyFont="1" applyFill="1" applyBorder="1" applyProtection="1">
      <alignment/>
      <protection/>
    </xf>
    <xf numFmtId="7" fontId="24" fillId="0" borderId="0" xfId="21" applyNumberFormat="1" applyFont="1" applyFill="1" applyBorder="1" applyAlignment="1" applyProtection="1">
      <alignment horizontal="right"/>
      <protection/>
    </xf>
    <xf numFmtId="7" fontId="28" fillId="0" borderId="0" xfId="21" applyNumberFormat="1" applyFont="1" applyFill="1" applyBorder="1" applyAlignment="1" applyProtection="1">
      <alignment horizontal="right"/>
      <protection/>
    </xf>
    <xf numFmtId="37" fontId="28" fillId="0" borderId="0" xfId="21" applyNumberFormat="1" applyFont="1" applyFill="1" applyProtection="1">
      <alignment/>
      <protection/>
    </xf>
    <xf numFmtId="0" fontId="28" fillId="0" borderId="0" xfId="21" applyFont="1" applyFill="1" applyBorder="1" applyAlignment="1" applyProtection="1">
      <alignment horizontal="right"/>
      <protection/>
    </xf>
    <xf numFmtId="0" fontId="29" fillId="0" borderId="0" xfId="21" applyNumberFormat="1" applyFont="1" applyFill="1" applyAlignment="1" applyProtection="1">
      <alignment/>
      <protection/>
    </xf>
    <xf numFmtId="8" fontId="24" fillId="0" borderId="0" xfId="21" applyNumberFormat="1" applyFont="1" applyFill="1" applyProtection="1">
      <alignment/>
      <protection/>
    </xf>
    <xf numFmtId="40" fontId="24" fillId="0" borderId="0" xfId="21" applyNumberFormat="1" applyFont="1" applyFill="1" applyProtection="1">
      <alignment/>
      <protection/>
    </xf>
    <xf numFmtId="40" fontId="24" fillId="0" borderId="0" xfId="21" applyNumberFormat="1" applyFont="1" applyFill="1" applyAlignment="1" applyProtection="1">
      <alignment horizontal="right"/>
      <protection/>
    </xf>
    <xf numFmtId="40" fontId="25" fillId="0" borderId="0" xfId="21" applyNumberFormat="1" applyFont="1" applyFill="1" applyProtection="1">
      <alignment/>
      <protection locked="0"/>
    </xf>
    <xf numFmtId="8" fontId="24" fillId="0" borderId="10" xfId="21" applyNumberFormat="1" applyFont="1" applyFill="1" applyBorder="1" applyProtection="1">
      <alignment/>
      <protection/>
    </xf>
    <xf numFmtId="7" fontId="24" fillId="0" borderId="10" xfId="21" applyNumberFormat="1" applyFont="1" applyFill="1" applyBorder="1" applyAlignment="1" applyProtection="1">
      <alignment horizontal="right"/>
      <protection/>
    </xf>
    <xf numFmtId="7" fontId="28" fillId="0" borderId="10" xfId="21" applyNumberFormat="1" applyFont="1" applyFill="1" applyBorder="1" applyAlignment="1" applyProtection="1">
      <alignment horizontal="right"/>
      <protection/>
    </xf>
    <xf numFmtId="8" fontId="24" fillId="0" borderId="10" xfId="21" applyNumberFormat="1" applyFont="1" applyFill="1" applyBorder="1" applyAlignment="1" applyProtection="1">
      <alignment horizontal="right"/>
      <protection/>
    </xf>
    <xf numFmtId="7" fontId="0" fillId="0" borderId="0" xfId="0" applyNumberFormat="1" applyAlignment="1">
      <alignment/>
    </xf>
    <xf numFmtId="10" fontId="0" fillId="0" borderId="0" xfId="0" applyNumberFormat="1" applyAlignment="1">
      <alignment/>
    </xf>
    <xf numFmtId="0" fontId="24" fillId="0" borderId="11" xfId="21" applyFont="1" applyFill="1" applyBorder="1" applyAlignment="1" applyProtection="1">
      <alignment/>
      <protection/>
    </xf>
    <xf numFmtId="0" fontId="24" fillId="0" borderId="12" xfId="21" applyFont="1" applyFill="1" applyBorder="1" applyAlignment="1" applyProtection="1">
      <alignment/>
      <protection/>
    </xf>
    <xf numFmtId="10" fontId="24" fillId="0" borderId="12" xfId="21" applyNumberFormat="1" applyFont="1" applyFill="1" applyBorder="1" applyAlignment="1" applyProtection="1">
      <alignment horizontal="right"/>
      <protection/>
    </xf>
    <xf numFmtId="10" fontId="24" fillId="0" borderId="12" xfId="21" applyNumberFormat="1" applyFont="1" applyFill="1" applyBorder="1" applyProtection="1">
      <alignment/>
      <protection/>
    </xf>
    <xf numFmtId="7" fontId="28" fillId="0" borderId="12" xfId="21" applyNumberFormat="1" applyFont="1" applyFill="1" applyBorder="1" applyAlignment="1" applyProtection="1">
      <alignment horizontal="right"/>
      <protection/>
    </xf>
    <xf numFmtId="0" fontId="24" fillId="0" borderId="0" xfId="21" applyNumberFormat="1" applyFont="1" applyFill="1" applyProtection="1">
      <alignment/>
      <protection/>
    </xf>
    <xf numFmtId="7" fontId="24" fillId="0" borderId="0" xfId="21" applyNumberFormat="1" applyFont="1" applyFill="1" applyProtection="1">
      <alignment/>
      <protection/>
    </xf>
    <xf numFmtId="0" fontId="25" fillId="0" borderId="0" xfId="21" applyFont="1" applyFill="1" applyProtection="1">
      <alignment/>
      <protection/>
    </xf>
    <xf numFmtId="0" fontId="25" fillId="0" borderId="0" xfId="21" applyFont="1" applyFill="1" applyAlignment="1" applyProtection="1">
      <alignment/>
      <protection/>
    </xf>
    <xf numFmtId="7" fontId="24" fillId="0" borderId="0" xfId="21" applyNumberFormat="1" applyFont="1" applyFill="1" applyAlignment="1" applyProtection="1">
      <alignment/>
      <protection/>
    </xf>
    <xf numFmtId="0" fontId="24" fillId="0" borderId="13" xfId="21" applyFont="1" applyFill="1" applyBorder="1" applyAlignment="1" applyProtection="1">
      <alignment/>
      <protection/>
    </xf>
    <xf numFmtId="0" fontId="24" fillId="0" borderId="10" xfId="21" applyFont="1" applyFill="1" applyBorder="1" applyAlignment="1" applyProtection="1">
      <alignment horizontal="right"/>
      <protection/>
    </xf>
    <xf numFmtId="0" fontId="25" fillId="0" borderId="0" xfId="21" applyFont="1" applyFill="1" applyAlignment="1" applyProtection="1">
      <alignment/>
      <protection locked="0"/>
    </xf>
    <xf numFmtId="0" fontId="24" fillId="0" borderId="0" xfId="21" applyFont="1" applyFill="1" applyAlignment="1" applyProtection="1" quotePrefix="1">
      <alignment/>
      <protection/>
    </xf>
    <xf numFmtId="172" fontId="25" fillId="0" borderId="0" xfId="21" applyNumberFormat="1" applyFont="1" applyFill="1" applyBorder="1" applyAlignment="1" applyProtection="1" quotePrefix="1">
      <alignment/>
      <protection locked="0"/>
    </xf>
    <xf numFmtId="172" fontId="25" fillId="0" borderId="0" xfId="21" applyNumberFormat="1" applyFont="1" applyFill="1" applyAlignment="1" applyProtection="1">
      <alignment/>
      <protection locked="0"/>
    </xf>
    <xf numFmtId="172" fontId="24" fillId="0" borderId="0" xfId="21" applyNumberFormat="1" applyFont="1" applyFill="1" applyBorder="1" applyAlignment="1" applyProtection="1" quotePrefix="1">
      <alignment/>
      <protection/>
    </xf>
    <xf numFmtId="37" fontId="24" fillId="0" borderId="0" xfId="21" applyNumberFormat="1" applyFont="1" applyFill="1" applyAlignment="1" applyProtection="1">
      <alignment/>
      <protection/>
    </xf>
    <xf numFmtId="172" fontId="24" fillId="0" borderId="0" xfId="21" applyNumberFormat="1" applyFont="1" applyFill="1" applyAlignment="1" applyProtection="1">
      <alignment/>
      <protection/>
    </xf>
    <xf numFmtId="0" fontId="25" fillId="0" borderId="0" xfId="21" applyFont="1" applyFill="1" applyProtection="1">
      <alignment/>
      <protection locked="0"/>
    </xf>
    <xf numFmtId="0" fontId="25" fillId="0" borderId="0" xfId="21" applyFont="1" applyFill="1" applyAlignment="1" applyProtection="1" quotePrefix="1">
      <alignment/>
      <protection locked="0"/>
    </xf>
    <xf numFmtId="0" fontId="25" fillId="0" borderId="0" xfId="21" applyNumberFormat="1" applyFont="1" applyFill="1" applyAlignment="1" applyProtection="1">
      <alignment/>
      <protection locked="0"/>
    </xf>
    <xf numFmtId="0" fontId="25" fillId="0" borderId="0" xfId="21" applyNumberFormat="1" applyFont="1" applyFill="1" applyAlignment="1" applyProtection="1">
      <alignment horizontal="right"/>
      <protection locked="0"/>
    </xf>
    <xf numFmtId="0" fontId="25" fillId="0" borderId="0" xfId="21" applyNumberFormat="1" applyFont="1" applyFill="1" applyAlignment="1" applyProtection="1">
      <alignment/>
      <protection/>
    </xf>
    <xf numFmtId="0" fontId="25" fillId="0" borderId="0" xfId="21" applyNumberFormat="1" applyFont="1" applyFill="1" applyBorder="1" applyAlignment="1" applyProtection="1">
      <alignment/>
      <protection locked="0"/>
    </xf>
    <xf numFmtId="172" fontId="25" fillId="0" borderId="0" xfId="21" applyNumberFormat="1" applyFont="1" applyFill="1" applyBorder="1" applyAlignment="1" applyProtection="1">
      <alignment/>
      <protection locked="0"/>
    </xf>
    <xf numFmtId="0" fontId="24" fillId="0" borderId="0" xfId="21" applyFont="1" applyFill="1" applyBorder="1" applyAlignment="1" applyProtection="1" quotePrefix="1">
      <alignment/>
      <protection/>
    </xf>
    <xf numFmtId="0" fontId="25" fillId="0" borderId="0" xfId="21" applyNumberFormat="1" applyFont="1" applyFill="1" applyBorder="1" applyAlignment="1" applyProtection="1">
      <alignment/>
      <protection/>
    </xf>
    <xf numFmtId="39" fontId="0" fillId="0" borderId="0" xfId="0" applyNumberFormat="1" applyAlignment="1">
      <alignment/>
    </xf>
    <xf numFmtId="7" fontId="25" fillId="0" borderId="13" xfId="21" applyNumberFormat="1" applyFont="1" applyFill="1" applyBorder="1" applyAlignment="1" applyProtection="1">
      <alignment/>
      <protection locked="0"/>
    </xf>
    <xf numFmtId="167" fontId="24" fillId="0" borderId="0" xfId="21" applyNumberFormat="1" applyFont="1" applyFill="1" applyBorder="1" applyAlignment="1" applyProtection="1">
      <alignment/>
      <protection/>
    </xf>
    <xf numFmtId="0" fontId="25" fillId="0" borderId="0" xfId="21" applyFont="1" applyFill="1" applyBorder="1" applyAlignment="1" applyProtection="1">
      <alignment/>
      <protection/>
    </xf>
    <xf numFmtId="0" fontId="28" fillId="0" borderId="9" xfId="21" applyFont="1" applyFill="1" applyBorder="1" applyAlignment="1" applyProtection="1">
      <alignment horizontal="center"/>
      <protection/>
    </xf>
    <xf numFmtId="0" fontId="24" fillId="0" borderId="9" xfId="21" applyFont="1" applyFill="1" applyBorder="1" applyAlignment="1" applyProtection="1">
      <alignment horizontal="center"/>
      <protection/>
    </xf>
    <xf numFmtId="0" fontId="24" fillId="0" borderId="0" xfId="21" applyFont="1" applyFill="1" applyBorder="1" applyAlignment="1" applyProtection="1">
      <alignment horizontal="center"/>
      <protection/>
    </xf>
    <xf numFmtId="8" fontId="25" fillId="0" borderId="0" xfId="21" applyNumberFormat="1" applyFont="1" applyFill="1" applyBorder="1" applyAlignment="1" applyProtection="1">
      <alignment horizontal="right"/>
      <protection locked="0"/>
    </xf>
    <xf numFmtId="0" fontId="25" fillId="0" borderId="0" xfId="21" applyNumberFormat="1" applyFont="1" applyFill="1" applyProtection="1">
      <alignment/>
      <protection locked="0"/>
    </xf>
    <xf numFmtId="8" fontId="25" fillId="0" borderId="0" xfId="21" applyNumberFormat="1" applyFont="1" applyFill="1" applyAlignment="1" applyProtection="1">
      <alignment/>
      <protection locked="0"/>
    </xf>
    <xf numFmtId="172" fontId="25" fillId="0" borderId="0" xfId="21" applyNumberFormat="1" applyFont="1" applyFill="1" applyAlignment="1" applyProtection="1">
      <alignment/>
      <protection/>
    </xf>
    <xf numFmtId="174" fontId="25" fillId="0" borderId="0" xfId="21" applyNumberFormat="1" applyFont="1" applyFill="1" applyAlignment="1" applyProtection="1">
      <alignment/>
      <protection locked="0"/>
    </xf>
    <xf numFmtId="174" fontId="25" fillId="0" borderId="0" xfId="21" applyNumberFormat="1" applyFont="1" applyFill="1" applyAlignment="1" applyProtection="1">
      <alignment/>
      <protection/>
    </xf>
    <xf numFmtId="169" fontId="25" fillId="0" borderId="0" xfId="21" applyNumberFormat="1" applyFont="1" applyFill="1" applyAlignment="1" applyProtection="1">
      <alignment/>
      <protection locked="0"/>
    </xf>
    <xf numFmtId="5" fontId="25" fillId="0" borderId="0" xfId="21" applyNumberFormat="1" applyFont="1" applyFill="1" applyAlignment="1" applyProtection="1">
      <alignment/>
      <protection locked="0"/>
    </xf>
    <xf numFmtId="10" fontId="25" fillId="0" borderId="0" xfId="21" applyNumberFormat="1" applyFont="1" applyFill="1" applyAlignment="1" applyProtection="1">
      <alignment/>
      <protection locked="0"/>
    </xf>
    <xf numFmtId="167" fontId="25" fillId="0" borderId="0" xfId="21" applyNumberFormat="1" applyFont="1" applyFill="1" applyBorder="1" applyAlignment="1" applyProtection="1">
      <alignment/>
      <protection locked="0"/>
    </xf>
    <xf numFmtId="0" fontId="28" fillId="0" borderId="0" xfId="21" applyFont="1" applyFill="1" applyAlignment="1" applyProtection="1">
      <alignment/>
      <protection/>
    </xf>
    <xf numFmtId="7" fontId="25" fillId="0" borderId="0" xfId="21" applyNumberFormat="1" applyFont="1" applyFill="1" applyAlignment="1" applyProtection="1">
      <alignment horizontal="right"/>
      <protection locked="0"/>
    </xf>
    <xf numFmtId="37" fontId="25" fillId="0" borderId="0" xfId="21" applyNumberFormat="1" applyFont="1" applyFill="1" applyAlignment="1" applyProtection="1">
      <alignment horizontal="right"/>
      <protection locked="0"/>
    </xf>
    <xf numFmtId="9" fontId="25" fillId="0" borderId="0" xfId="21" applyNumberFormat="1" applyFont="1" applyFill="1" applyAlignment="1" applyProtection="1">
      <alignment horizontal="right"/>
      <protection locked="0"/>
    </xf>
    <xf numFmtId="9" fontId="25" fillId="0" borderId="13" xfId="21" applyNumberFormat="1" applyFont="1" applyFill="1" applyBorder="1" applyAlignment="1" applyProtection="1">
      <alignment horizontal="right"/>
      <protection/>
    </xf>
    <xf numFmtId="7" fontId="25" fillId="0" borderId="13" xfId="21" applyNumberFormat="1" applyFont="1" applyFill="1" applyBorder="1" applyAlignment="1" applyProtection="1">
      <alignment horizontal="right"/>
      <protection locked="0"/>
    </xf>
    <xf numFmtId="37" fontId="25" fillId="0" borderId="13" xfId="21" applyNumberFormat="1" applyFont="1" applyFill="1" applyBorder="1" applyAlignment="1" applyProtection="1">
      <alignment horizontal="right"/>
      <protection locked="0"/>
    </xf>
    <xf numFmtId="9" fontId="25" fillId="0" borderId="13" xfId="21" applyNumberFormat="1" applyFont="1" applyFill="1" applyBorder="1" applyAlignment="1" applyProtection="1">
      <alignment horizontal="right"/>
      <protection locked="0"/>
    </xf>
    <xf numFmtId="0" fontId="24" fillId="0" borderId="13" xfId="21" applyFont="1" applyFill="1" applyBorder="1" applyAlignment="1" applyProtection="1" quotePrefix="1">
      <alignment/>
      <protection/>
    </xf>
    <xf numFmtId="8" fontId="24" fillId="0" borderId="0" xfId="21" applyNumberFormat="1" applyFont="1" applyFill="1" applyAlignment="1" applyProtection="1">
      <alignment/>
      <protection/>
    </xf>
    <xf numFmtId="40" fontId="24" fillId="0" borderId="0" xfId="21" applyNumberFormat="1" applyFont="1" applyFill="1" applyAlignment="1" applyProtection="1" quotePrefix="1">
      <alignment horizontal="right"/>
      <protection/>
    </xf>
    <xf numFmtId="40" fontId="24" fillId="0" borderId="0" xfId="21" applyNumberFormat="1" applyFont="1" applyFill="1" applyProtection="1" quotePrefix="1">
      <alignment/>
      <protection/>
    </xf>
    <xf numFmtId="40" fontId="24" fillId="0" borderId="0" xfId="21" applyNumberFormat="1" applyFont="1" applyFill="1" applyAlignment="1" applyProtection="1">
      <alignment/>
      <protection/>
    </xf>
    <xf numFmtId="0" fontId="24" fillId="0" borderId="0" xfId="21" applyFont="1" applyFill="1" applyAlignment="1" applyProtection="1">
      <alignment horizontal="center"/>
      <protection/>
    </xf>
    <xf numFmtId="0" fontId="24" fillId="0" borderId="0" xfId="21" applyFont="1" applyFill="1" applyAlignment="1" applyProtection="1">
      <alignment horizontal="right"/>
      <protection/>
    </xf>
    <xf numFmtId="9" fontId="24" fillId="0" borderId="0" xfId="21" applyNumberFormat="1" applyFont="1" applyFill="1" applyAlignment="1" applyProtection="1" quotePrefix="1">
      <alignment/>
      <protection/>
    </xf>
    <xf numFmtId="9" fontId="24" fillId="0" borderId="0" xfId="21" applyNumberFormat="1" applyFont="1" applyFill="1" applyAlignment="1" applyProtection="1">
      <alignment/>
      <protection/>
    </xf>
    <xf numFmtId="8" fontId="24" fillId="0" borderId="0" xfId="21" applyNumberFormat="1" applyFont="1" applyFill="1" applyAlignment="1" applyProtection="1" quotePrefix="1">
      <alignment/>
      <protection/>
    </xf>
    <xf numFmtId="6" fontId="24" fillId="0" borderId="0" xfId="21" applyNumberFormat="1" applyFont="1" applyFill="1" applyAlignment="1" applyProtection="1">
      <alignment/>
      <protection/>
    </xf>
    <xf numFmtId="40" fontId="24" fillId="0" borderId="0" xfId="21" applyNumberFormat="1" applyFont="1" applyFill="1" applyAlignment="1" applyProtection="1" quotePrefix="1">
      <alignment/>
      <protection/>
    </xf>
    <xf numFmtId="8" fontId="24" fillId="0" borderId="10" xfId="21" applyNumberFormat="1" applyFont="1" applyFill="1" applyBorder="1" applyAlignment="1" applyProtection="1" quotePrefix="1">
      <alignment/>
      <protection/>
    </xf>
    <xf numFmtId="14" fontId="0" fillId="0" borderId="0" xfId="0" applyNumberFormat="1" applyAlignment="1">
      <alignment/>
    </xf>
    <xf numFmtId="18" fontId="0" fillId="0" borderId="0" xfId="0" applyNumberFormat="1" applyAlignment="1">
      <alignment/>
    </xf>
    <xf numFmtId="22" fontId="0" fillId="0" borderId="0" xfId="0" applyNumberFormat="1" applyAlignment="1">
      <alignment/>
    </xf>
    <xf numFmtId="0" fontId="2" fillId="0" borderId="0" xfId="0" applyFont="1" applyAlignment="1">
      <alignment vertical="top"/>
    </xf>
    <xf numFmtId="0" fontId="0" fillId="0" borderId="0" xfId="0" applyAlignment="1">
      <alignment horizontal="center"/>
    </xf>
    <xf numFmtId="0" fontId="32" fillId="0" borderId="0" xfId="0" applyFont="1" applyAlignment="1">
      <alignment horizontal="center"/>
    </xf>
    <xf numFmtId="0" fontId="32" fillId="0" borderId="0" xfId="0" applyFont="1" applyAlignment="1">
      <alignment/>
    </xf>
    <xf numFmtId="18" fontId="32" fillId="0" borderId="0" xfId="0" applyNumberFormat="1" applyFont="1" applyAlignment="1">
      <alignment horizontal="center"/>
    </xf>
    <xf numFmtId="18" fontId="32" fillId="0" borderId="0" xfId="0" applyNumberFormat="1" applyFont="1" applyAlignment="1">
      <alignment/>
    </xf>
    <xf numFmtId="0" fontId="33" fillId="0" borderId="0" xfId="0" applyFont="1" applyAlignment="1">
      <alignment horizontal="center"/>
    </xf>
    <xf numFmtId="39" fontId="0" fillId="0" borderId="0" xfId="0" applyNumberFormat="1" applyFill="1" applyAlignment="1">
      <alignment/>
    </xf>
    <xf numFmtId="0" fontId="0" fillId="0" borderId="0" xfId="0" applyFill="1" applyAlignment="1">
      <alignment/>
    </xf>
    <xf numFmtId="7" fontId="32" fillId="0" borderId="0" xfId="0" applyNumberFormat="1" applyFont="1" applyAlignment="1">
      <alignment/>
    </xf>
    <xf numFmtId="8" fontId="32" fillId="0" borderId="0" xfId="0" applyNumberFormat="1" applyFont="1" applyAlignment="1">
      <alignment/>
    </xf>
    <xf numFmtId="7" fontId="32" fillId="3" borderId="14" xfId="0" applyNumberFormat="1" applyFont="1" applyFill="1" applyBorder="1" applyAlignment="1">
      <alignment/>
    </xf>
    <xf numFmtId="0" fontId="32" fillId="3" borderId="15" xfId="0" applyFont="1" applyFill="1" applyBorder="1" applyAlignment="1">
      <alignment/>
    </xf>
    <xf numFmtId="7" fontId="32" fillId="3" borderId="15" xfId="0" applyNumberFormat="1" applyFont="1" applyFill="1" applyBorder="1" applyAlignment="1">
      <alignment/>
    </xf>
    <xf numFmtId="0" fontId="0" fillId="3" borderId="15" xfId="0" applyFill="1" applyBorder="1" applyAlignment="1">
      <alignment/>
    </xf>
    <xf numFmtId="8" fontId="32" fillId="3" borderId="16" xfId="0" applyNumberFormat="1" applyFont="1" applyFill="1" applyBorder="1" applyAlignment="1">
      <alignment/>
    </xf>
    <xf numFmtId="7" fontId="32" fillId="3" borderId="17" xfId="0" applyNumberFormat="1" applyFont="1" applyFill="1" applyBorder="1" applyAlignment="1">
      <alignment/>
    </xf>
    <xf numFmtId="0" fontId="33" fillId="3" borderId="0" xfId="0" applyFont="1" applyFill="1" applyBorder="1" applyAlignment="1">
      <alignment horizontal="centerContinuous"/>
    </xf>
    <xf numFmtId="7" fontId="33" fillId="3" borderId="0" xfId="0" applyNumberFormat="1" applyFont="1" applyFill="1" applyBorder="1" applyAlignment="1">
      <alignment horizontal="centerContinuous"/>
    </xf>
    <xf numFmtId="8" fontId="32" fillId="3" borderId="18" xfId="0" applyNumberFormat="1" applyFont="1" applyFill="1" applyBorder="1" applyAlignment="1">
      <alignment/>
    </xf>
    <xf numFmtId="0" fontId="0" fillId="3" borderId="17" xfId="0" applyFill="1" applyBorder="1" applyAlignment="1">
      <alignment/>
    </xf>
    <xf numFmtId="0" fontId="0" fillId="3" borderId="0" xfId="0" applyFill="1" applyBorder="1" applyAlignment="1">
      <alignment/>
    </xf>
    <xf numFmtId="0" fontId="0" fillId="3" borderId="18" xfId="0" applyFill="1" applyBorder="1" applyAlignment="1">
      <alignment/>
    </xf>
    <xf numFmtId="0" fontId="33" fillId="3" borderId="0" xfId="0" applyFont="1" applyFill="1" applyBorder="1" applyAlignment="1">
      <alignment horizontal="center"/>
    </xf>
    <xf numFmtId="8" fontId="32" fillId="3" borderId="0" xfId="0" applyNumberFormat="1" applyFont="1" applyFill="1" applyBorder="1" applyAlignment="1">
      <alignment horizontal="center"/>
    </xf>
    <xf numFmtId="0" fontId="0" fillId="3" borderId="0" xfId="0" applyFill="1" applyBorder="1" applyAlignment="1">
      <alignment horizontal="center"/>
    </xf>
    <xf numFmtId="10" fontId="32" fillId="3" borderId="0" xfId="0" applyNumberFormat="1" applyFont="1" applyFill="1" applyBorder="1" applyAlignment="1">
      <alignment horizontal="center"/>
    </xf>
    <xf numFmtId="2" fontId="32" fillId="3" borderId="0" xfId="0" applyNumberFormat="1" applyFont="1" applyFill="1" applyBorder="1" applyAlignment="1">
      <alignment horizontal="center"/>
    </xf>
    <xf numFmtId="8" fontId="32" fillId="3" borderId="19" xfId="0" applyNumberFormat="1" applyFont="1" applyFill="1" applyBorder="1" applyAlignment="1">
      <alignment/>
    </xf>
    <xf numFmtId="0" fontId="0" fillId="3" borderId="20" xfId="0" applyFill="1" applyBorder="1" applyAlignment="1">
      <alignment/>
    </xf>
    <xf numFmtId="10" fontId="32" fillId="3" borderId="20" xfId="0" applyNumberFormat="1" applyFont="1" applyFill="1" applyBorder="1" applyAlignment="1">
      <alignment/>
    </xf>
    <xf numFmtId="2" fontId="32" fillId="3" borderId="20" xfId="0" applyNumberFormat="1" applyFont="1" applyFill="1" applyBorder="1" applyAlignment="1">
      <alignment horizontal="center"/>
    </xf>
    <xf numFmtId="2" fontId="32" fillId="3" borderId="21" xfId="0" applyNumberFormat="1" applyFont="1" applyFill="1" applyBorder="1" applyAlignment="1">
      <alignment horizontal="center"/>
    </xf>
    <xf numFmtId="0" fontId="33" fillId="0" borderId="22" xfId="0" applyFont="1" applyBorder="1" applyAlignment="1">
      <alignment horizontal="centerContinuous"/>
    </xf>
    <xf numFmtId="0" fontId="0" fillId="0" borderId="23" xfId="0" applyBorder="1" applyAlignment="1">
      <alignment horizontal="centerContinuous"/>
    </xf>
    <xf numFmtId="0" fontId="33" fillId="0" borderId="23" xfId="0" applyFont="1" applyBorder="1" applyAlignment="1">
      <alignment horizontal="centerContinuous"/>
    </xf>
    <xf numFmtId="0" fontId="33" fillId="0" borderId="24" xfId="0" applyFont="1" applyBorder="1" applyAlignment="1">
      <alignment horizontal="centerContinuous"/>
    </xf>
    <xf numFmtId="0" fontId="0" fillId="4" borderId="23" xfId="0" applyFill="1" applyBorder="1" applyAlignment="1">
      <alignment/>
    </xf>
    <xf numFmtId="0" fontId="33" fillId="0" borderId="25" xfId="0" applyFont="1" applyBorder="1" applyAlignment="1">
      <alignment horizontal="centerContinuous"/>
    </xf>
    <xf numFmtId="0" fontId="0" fillId="0" borderId="26" xfId="0" applyBorder="1" applyAlignment="1">
      <alignment horizontal="centerContinuous"/>
    </xf>
    <xf numFmtId="0" fontId="0" fillId="0" borderId="27" xfId="0" applyBorder="1" applyAlignment="1">
      <alignment/>
    </xf>
    <xf numFmtId="0" fontId="0" fillId="0" borderId="0" xfId="0" applyBorder="1" applyAlignment="1">
      <alignment/>
    </xf>
    <xf numFmtId="0" fontId="0" fillId="0" borderId="28" xfId="0" applyBorder="1" applyAlignment="1">
      <alignment/>
    </xf>
    <xf numFmtId="0" fontId="0" fillId="4" borderId="0" xfId="0" applyFill="1" applyBorder="1" applyAlignment="1">
      <alignment/>
    </xf>
    <xf numFmtId="0" fontId="0" fillId="0" borderId="29" xfId="0" applyFont="1" applyBorder="1" applyAlignment="1">
      <alignment horizontal="center"/>
    </xf>
    <xf numFmtId="0" fontId="0" fillId="0" borderId="0" xfId="0" applyFont="1" applyBorder="1" applyAlignment="1">
      <alignment horizontal="center"/>
    </xf>
    <xf numFmtId="0" fontId="0" fillId="0" borderId="30" xfId="0" applyFont="1" applyBorder="1" applyAlignment="1">
      <alignment horizontal="center"/>
    </xf>
    <xf numFmtId="0" fontId="32" fillId="0" borderId="27" xfId="0" applyFont="1" applyBorder="1" applyAlignment="1">
      <alignment/>
    </xf>
    <xf numFmtId="0" fontId="34" fillId="0" borderId="29" xfId="0" applyFont="1" applyBorder="1" applyAlignment="1">
      <alignment horizontal="center"/>
    </xf>
    <xf numFmtId="0" fontId="34" fillId="0" borderId="0" xfId="0" applyFont="1" applyBorder="1" applyAlignment="1">
      <alignment horizontal="center"/>
    </xf>
    <xf numFmtId="0" fontId="34" fillId="0" borderId="30" xfId="0" applyFont="1" applyBorder="1" applyAlignment="1">
      <alignment horizontal="center"/>
    </xf>
    <xf numFmtId="0" fontId="32" fillId="4" borderId="27" xfId="0" applyFont="1" applyFill="1" applyBorder="1" applyAlignment="1">
      <alignment horizontal="centerContinuous"/>
    </xf>
    <xf numFmtId="0" fontId="34" fillId="4" borderId="0" xfId="0" applyFont="1" applyFill="1" applyBorder="1" applyAlignment="1">
      <alignment horizontal="centerContinuous"/>
    </xf>
    <xf numFmtId="0" fontId="32" fillId="4" borderId="0" xfId="0" applyFont="1" applyFill="1" applyBorder="1" applyAlignment="1">
      <alignment horizontal="centerContinuous"/>
    </xf>
    <xf numFmtId="0" fontId="34" fillId="4" borderId="30" xfId="0" applyFont="1" applyFill="1" applyBorder="1" applyAlignment="1">
      <alignment horizontal="centerContinuous"/>
    </xf>
    <xf numFmtId="7" fontId="32" fillId="0" borderId="28" xfId="0" applyNumberFormat="1" applyFont="1" applyBorder="1" applyAlignment="1">
      <alignment horizontal="center"/>
    </xf>
    <xf numFmtId="7" fontId="32" fillId="0" borderId="29" xfId="0" applyNumberFormat="1" applyFont="1" applyBorder="1" applyAlignment="1">
      <alignment horizontal="center"/>
    </xf>
    <xf numFmtId="7" fontId="32" fillId="0" borderId="0" xfId="0" applyNumberFormat="1" applyFont="1" applyBorder="1" applyAlignment="1">
      <alignment horizontal="center"/>
    </xf>
    <xf numFmtId="7" fontId="32" fillId="0" borderId="30" xfId="0" applyNumberFormat="1" applyFont="1" applyBorder="1" applyAlignment="1">
      <alignment horizontal="center"/>
    </xf>
    <xf numFmtId="0" fontId="0" fillId="0" borderId="29" xfId="0" applyBorder="1" applyAlignment="1">
      <alignment/>
    </xf>
    <xf numFmtId="0" fontId="0" fillId="0" borderId="30" xfId="0" applyBorder="1" applyAlignment="1">
      <alignment/>
    </xf>
    <xf numFmtId="0" fontId="23" fillId="4" borderId="0" xfId="0" applyFont="1" applyFill="1" applyBorder="1" applyAlignment="1">
      <alignment horizontal="centerContinuous"/>
    </xf>
    <xf numFmtId="0" fontId="23" fillId="4" borderId="0" xfId="0" applyFont="1" applyFill="1" applyBorder="1" applyAlignment="1">
      <alignment/>
    </xf>
    <xf numFmtId="0" fontId="23" fillId="4" borderId="30" xfId="0" applyFont="1" applyFill="1" applyBorder="1" applyAlignment="1">
      <alignment horizontal="centerContinuous"/>
    </xf>
    <xf numFmtId="0" fontId="32" fillId="4" borderId="0" xfId="0" applyFont="1" applyFill="1" applyBorder="1" applyAlignment="1">
      <alignment horizontal="center"/>
    </xf>
    <xf numFmtId="0" fontId="32" fillId="0" borderId="31" xfId="0" applyFont="1" applyBorder="1" applyAlignment="1">
      <alignment/>
    </xf>
    <xf numFmtId="0" fontId="0" fillId="0" borderId="32" xfId="0" applyBorder="1" applyAlignment="1">
      <alignment/>
    </xf>
    <xf numFmtId="7" fontId="32" fillId="0" borderId="33" xfId="0" applyNumberFormat="1" applyFont="1" applyBorder="1" applyAlignment="1">
      <alignment horizontal="center"/>
    </xf>
    <xf numFmtId="0" fontId="32" fillId="4" borderId="32" xfId="0" applyFont="1" applyFill="1" applyBorder="1" applyAlignment="1">
      <alignment horizontal="center"/>
    </xf>
    <xf numFmtId="7" fontId="32" fillId="0" borderId="34" xfId="0" applyNumberFormat="1" applyFont="1" applyBorder="1" applyAlignment="1">
      <alignment horizontal="center"/>
    </xf>
    <xf numFmtId="7" fontId="32" fillId="0" borderId="32" xfId="0" applyNumberFormat="1" applyFont="1" applyBorder="1" applyAlignment="1">
      <alignment horizontal="center"/>
    </xf>
    <xf numFmtId="7" fontId="32" fillId="0" borderId="35" xfId="0" applyNumberFormat="1" applyFont="1" applyBorder="1" applyAlignment="1">
      <alignment horizontal="center"/>
    </xf>
    <xf numFmtId="0" fontId="0" fillId="0" borderId="0" xfId="0" applyBorder="1" applyAlignment="1">
      <alignment horizontal="centerContinuous"/>
    </xf>
    <xf numFmtId="0" fontId="35" fillId="0" borderId="0" xfId="0" applyFont="1" applyBorder="1" applyAlignment="1">
      <alignment horizontal="centerContinuous"/>
    </xf>
    <xf numFmtId="0" fontId="36" fillId="0" borderId="0" xfId="0" applyFont="1" applyBorder="1" applyAlignment="1">
      <alignment/>
    </xf>
    <xf numFmtId="0" fontId="37" fillId="0" borderId="0" xfId="0" applyFont="1" applyBorder="1" applyAlignment="1">
      <alignment horizontal="centerContinuous"/>
    </xf>
    <xf numFmtId="0" fontId="38" fillId="0" borderId="0" xfId="0" applyFont="1" applyBorder="1" applyAlignment="1">
      <alignment horizontal="centerContinuous"/>
    </xf>
    <xf numFmtId="0" fontId="0" fillId="0" borderId="0" xfId="0" applyAlignment="1">
      <alignment horizontal="left" indent="1"/>
    </xf>
    <xf numFmtId="0" fontId="0" fillId="2" borderId="0" xfId="0" applyFill="1" applyAlignment="1">
      <alignment/>
    </xf>
    <xf numFmtId="0" fontId="0" fillId="2" borderId="0" xfId="0" applyFill="1" applyAlignment="1">
      <alignment horizontal="right"/>
    </xf>
    <xf numFmtId="7" fontId="20" fillId="0" borderId="0" xfId="0" applyNumberFormat="1" applyFont="1" applyAlignment="1">
      <alignment/>
    </xf>
    <xf numFmtId="0" fontId="41" fillId="0" borderId="0" xfId="0" applyFont="1" applyAlignment="1">
      <alignment/>
    </xf>
    <xf numFmtId="0" fontId="0" fillId="5" borderId="0" xfId="0" applyFill="1" applyAlignment="1">
      <alignment/>
    </xf>
    <xf numFmtId="0" fontId="0" fillId="6" borderId="0" xfId="0" applyFill="1" applyAlignment="1">
      <alignment/>
    </xf>
    <xf numFmtId="0" fontId="43" fillId="2" borderId="0" xfId="0" applyFont="1" applyFill="1" applyAlignment="1">
      <alignment/>
    </xf>
    <xf numFmtId="0" fontId="44" fillId="2" borderId="0" xfId="0" applyFont="1" applyFill="1" applyAlignment="1">
      <alignment/>
    </xf>
    <xf numFmtId="0" fontId="18" fillId="2" borderId="0" xfId="0" applyFont="1" applyFill="1" applyAlignment="1">
      <alignment/>
    </xf>
    <xf numFmtId="7" fontId="41" fillId="0" borderId="0" xfId="0" applyNumberFormat="1" applyFont="1" applyAlignment="1">
      <alignment/>
    </xf>
    <xf numFmtId="0" fontId="2" fillId="0" borderId="0" xfId="0" applyFont="1" applyAlignment="1">
      <alignment/>
    </xf>
    <xf numFmtId="0" fontId="45" fillId="0" borderId="0" xfId="0" applyFont="1" applyAlignment="1">
      <alignment horizontal="right"/>
    </xf>
    <xf numFmtId="7" fontId="45" fillId="0" borderId="0" xfId="0" applyNumberFormat="1" applyFont="1" applyAlignment="1">
      <alignment/>
    </xf>
    <xf numFmtId="0" fontId="45" fillId="7" borderId="0" xfId="0" applyFont="1" applyFill="1" applyAlignment="1">
      <alignment horizontal="right"/>
    </xf>
    <xf numFmtId="7" fontId="45" fillId="7" borderId="0" xfId="0" applyNumberFormat="1" applyFont="1" applyFill="1" applyAlignment="1">
      <alignment/>
    </xf>
    <xf numFmtId="0" fontId="42" fillId="5" borderId="0" xfId="0" applyFont="1" applyFill="1" applyAlignment="1">
      <alignment/>
    </xf>
    <xf numFmtId="0" fontId="24" fillId="0" borderId="0" xfId="0" applyFont="1" applyAlignment="1">
      <alignment/>
    </xf>
    <xf numFmtId="7" fontId="24" fillId="0" borderId="0" xfId="0" applyNumberFormat="1" applyFont="1" applyAlignment="1">
      <alignment/>
    </xf>
    <xf numFmtId="0" fontId="20" fillId="2" borderId="0" xfId="0" applyFont="1" applyFill="1" applyAlignment="1">
      <alignment horizontal="center" vertical="center" wrapText="1"/>
    </xf>
    <xf numFmtId="0" fontId="45" fillId="8" borderId="0" xfId="0" applyFont="1" applyFill="1" applyAlignment="1">
      <alignment horizontal="right"/>
    </xf>
    <xf numFmtId="7" fontId="45" fillId="8" borderId="0" xfId="0" applyNumberFormat="1" applyFont="1" applyFill="1" applyAlignment="1">
      <alignment/>
    </xf>
    <xf numFmtId="0" fontId="2" fillId="0" borderId="0" xfId="0" applyFont="1" applyFill="1" applyAlignment="1">
      <alignment/>
    </xf>
    <xf numFmtId="0" fontId="24" fillId="0" borderId="0" xfId="21" applyFont="1" applyFill="1" applyProtection="1">
      <alignment/>
      <protection hidden="1"/>
    </xf>
    <xf numFmtId="8" fontId="2" fillId="0" borderId="0" xfId="21" applyNumberFormat="1" applyFont="1" applyFill="1" applyBorder="1" applyProtection="1">
      <alignment/>
      <protection hidden="1"/>
    </xf>
    <xf numFmtId="8" fontId="46" fillId="0" borderId="0" xfId="21" applyNumberFormat="1" applyFont="1" applyFill="1" applyProtection="1">
      <alignment/>
      <protection hidden="1"/>
    </xf>
    <xf numFmtId="8" fontId="2" fillId="0" borderId="0" xfId="21" applyNumberFormat="1" applyFont="1" applyFill="1" applyProtection="1">
      <alignment/>
      <protection hidden="1"/>
    </xf>
    <xf numFmtId="0" fontId="46" fillId="0" borderId="0" xfId="21" applyFont="1" applyFill="1" applyProtection="1">
      <alignment/>
      <protection hidden="1"/>
    </xf>
    <xf numFmtId="0" fontId="46" fillId="0" borderId="0" xfId="21" applyFont="1" applyFill="1" applyProtection="1">
      <alignment/>
      <protection/>
    </xf>
    <xf numFmtId="0" fontId="35" fillId="0" borderId="0" xfId="0" applyFont="1" applyAlignment="1">
      <alignment horizontal="center"/>
    </xf>
    <xf numFmtId="0" fontId="35" fillId="0" borderId="0" xfId="0" applyFont="1" applyAlignment="1">
      <alignment/>
    </xf>
    <xf numFmtId="0" fontId="0" fillId="0" borderId="0" xfId="0" applyFont="1" applyAlignment="1">
      <alignment/>
    </xf>
    <xf numFmtId="0" fontId="20" fillId="0" borderId="0" xfId="0" applyFont="1" applyAlignment="1">
      <alignment vertical="top"/>
    </xf>
    <xf numFmtId="0" fontId="47" fillId="0" borderId="0" xfId="0" applyFont="1" applyAlignment="1">
      <alignment horizontal="centerContinuous"/>
    </xf>
    <xf numFmtId="7" fontId="47" fillId="0" borderId="0" xfId="17" applyNumberFormat="1" applyFont="1" applyAlignment="1">
      <alignment/>
    </xf>
    <xf numFmtId="0" fontId="32" fillId="0" borderId="0" xfId="0" applyFont="1" applyAlignment="1">
      <alignment horizontal="left"/>
    </xf>
    <xf numFmtId="0" fontId="40" fillId="0" borderId="0" xfId="0" applyFont="1" applyAlignment="1">
      <alignment horizontal="center"/>
    </xf>
    <xf numFmtId="0" fontId="40" fillId="0" borderId="0" xfId="0" applyFont="1" applyFill="1" applyAlignment="1">
      <alignment horizontal="center"/>
    </xf>
    <xf numFmtId="0" fontId="2" fillId="0" borderId="0" xfId="21" applyFont="1" applyFill="1" applyProtection="1">
      <alignment/>
      <protection/>
    </xf>
    <xf numFmtId="0" fontId="20" fillId="0" borderId="0" xfId="0" applyFont="1" applyAlignment="1">
      <alignment/>
    </xf>
    <xf numFmtId="0" fontId="20" fillId="0" borderId="32" xfId="0" applyFont="1" applyBorder="1" applyAlignment="1">
      <alignment/>
    </xf>
    <xf numFmtId="0" fontId="0" fillId="0" borderId="32" xfId="0" applyBorder="1" applyAlignment="1">
      <alignment horizontal="left" indent="1"/>
    </xf>
    <xf numFmtId="0" fontId="0" fillId="0" borderId="20" xfId="0" applyBorder="1" applyAlignment="1">
      <alignment/>
    </xf>
    <xf numFmtId="40" fontId="25" fillId="0" borderId="0" xfId="21" applyNumberFormat="1" applyFont="1" applyFill="1" applyProtection="1">
      <alignment/>
      <protection/>
    </xf>
    <xf numFmtId="0" fontId="24" fillId="0" borderId="11" xfId="21" applyFont="1" applyFill="1" applyBorder="1" applyAlignment="1" applyProtection="1">
      <alignment/>
      <protection/>
    </xf>
    <xf numFmtId="0" fontId="24" fillId="0" borderId="0" xfId="21" applyFont="1" applyFill="1" applyAlignment="1" applyProtection="1">
      <alignment/>
      <protection/>
    </xf>
    <xf numFmtId="0" fontId="24" fillId="0" borderId="0" xfId="21" applyFont="1" applyFill="1" applyBorder="1" applyAlignment="1" applyProtection="1">
      <alignment/>
      <protection/>
    </xf>
    <xf numFmtId="0" fontId="23" fillId="0" borderId="0" xfId="21" applyAlignment="1" applyProtection="1">
      <alignment/>
      <protection/>
    </xf>
    <xf numFmtId="0" fontId="24" fillId="0" borderId="13" xfId="21" applyFont="1" applyFill="1" applyBorder="1" applyAlignment="1" applyProtection="1">
      <alignment/>
      <protection/>
    </xf>
    <xf numFmtId="0" fontId="23" fillId="0" borderId="0" xfId="21" applyAlignment="1">
      <alignment/>
      <protection/>
    </xf>
    <xf numFmtId="0" fontId="24" fillId="0" borderId="10" xfId="21" applyFont="1" applyFill="1" applyBorder="1" applyAlignment="1" applyProtection="1">
      <alignment/>
      <protection/>
    </xf>
    <xf numFmtId="0" fontId="23" fillId="0" borderId="10" xfId="21" applyBorder="1" applyAlignment="1" applyProtection="1">
      <alignment/>
      <protection/>
    </xf>
    <xf numFmtId="0" fontId="24" fillId="0" borderId="9" xfId="21" applyFont="1" applyFill="1" applyBorder="1" applyAlignment="1" applyProtection="1">
      <alignment/>
      <protection/>
    </xf>
    <xf numFmtId="0" fontId="23" fillId="0" borderId="9" xfId="21" applyBorder="1" applyAlignment="1" applyProtection="1">
      <alignment/>
      <protection/>
    </xf>
    <xf numFmtId="0" fontId="23" fillId="0" borderId="11" xfId="21" applyBorder="1" applyAlignment="1" applyProtection="1">
      <alignment/>
      <protection/>
    </xf>
    <xf numFmtId="0" fontId="19" fillId="0" borderId="0" xfId="0" applyFont="1" applyAlignment="1">
      <alignment/>
    </xf>
    <xf numFmtId="165" fontId="39" fillId="0" borderId="0" xfId="0" applyNumberFormat="1" applyFont="1" applyAlignment="1" applyProtection="1">
      <alignment horizontal="left"/>
      <protection locked="0"/>
    </xf>
    <xf numFmtId="0" fontId="21" fillId="2" borderId="0" xfId="0" applyFont="1" applyFill="1" applyAlignment="1" applyProtection="1">
      <alignment horizontal="center" vertical="center" wrapText="1"/>
      <protection locked="0"/>
    </xf>
    <xf numFmtId="7" fontId="21" fillId="0" borderId="0" xfId="0" applyNumberFormat="1" applyFont="1" applyAlignment="1" applyProtection="1">
      <alignment/>
      <protection locked="0"/>
    </xf>
    <xf numFmtId="39" fontId="21" fillId="0" borderId="0" xfId="0" applyNumberFormat="1" applyFont="1" applyAlignment="1" applyProtection="1">
      <alignment/>
      <protection locked="0"/>
    </xf>
    <xf numFmtId="39" fontId="21" fillId="0" borderId="32" xfId="0" applyNumberFormat="1" applyFont="1" applyBorder="1" applyAlignment="1" applyProtection="1">
      <alignment/>
      <protection locked="0"/>
    </xf>
    <xf numFmtId="7" fontId="40" fillId="0" borderId="0" xfId="0" applyNumberFormat="1" applyFont="1" applyAlignment="1" applyProtection="1">
      <alignment/>
      <protection locked="0"/>
    </xf>
    <xf numFmtId="39" fontId="40" fillId="0" borderId="0" xfId="0" applyNumberFormat="1" applyFont="1" applyAlignment="1" applyProtection="1">
      <alignment/>
      <protection locked="0"/>
    </xf>
    <xf numFmtId="39" fontId="40" fillId="0" borderId="32" xfId="0" applyNumberFormat="1" applyFont="1" applyBorder="1" applyAlignment="1" applyProtection="1">
      <alignment/>
      <protection locked="0"/>
    </xf>
    <xf numFmtId="0" fontId="40" fillId="0" borderId="0" xfId="0" applyFont="1" applyAlignment="1" applyProtection="1">
      <alignment/>
      <protection locked="0"/>
    </xf>
    <xf numFmtId="10" fontId="40" fillId="9" borderId="0" xfId="0" applyNumberFormat="1" applyFont="1" applyFill="1" applyAlignment="1" applyProtection="1">
      <alignment horizontal="center"/>
      <protection locked="0"/>
    </xf>
    <xf numFmtId="179" fontId="40" fillId="9" borderId="0" xfId="0" applyNumberFormat="1" applyFont="1" applyFill="1" applyAlignment="1" applyProtection="1">
      <alignment horizontal="center"/>
      <protection locked="0"/>
    </xf>
    <xf numFmtId="215" fontId="40" fillId="9" borderId="0" xfId="0" applyNumberFormat="1" applyFont="1" applyFill="1" applyAlignment="1" applyProtection="1">
      <alignment horizontal="center"/>
      <protection locked="0"/>
    </xf>
    <xf numFmtId="7" fontId="40" fillId="9" borderId="0" xfId="0" applyNumberFormat="1" applyFont="1" applyFill="1" applyAlignment="1" applyProtection="1">
      <alignment horizontal="center"/>
      <protection locked="0"/>
    </xf>
    <xf numFmtId="10" fontId="40" fillId="9" borderId="0" xfId="0" applyNumberFormat="1" applyFont="1" applyFill="1" applyAlignment="1" applyProtection="1">
      <alignment horizontal="center"/>
      <protection locked="0"/>
    </xf>
    <xf numFmtId="0" fontId="40" fillId="9" borderId="0" xfId="0" applyFont="1" applyFill="1" applyAlignment="1" applyProtection="1">
      <alignment horizontal="center"/>
      <protection locked="0"/>
    </xf>
    <xf numFmtId="7" fontId="40" fillId="9" borderId="0" xfId="0" applyNumberFormat="1" applyFont="1" applyFill="1" applyAlignment="1" applyProtection="1">
      <alignment/>
      <protection locked="0"/>
    </xf>
    <xf numFmtId="39" fontId="40" fillId="9" borderId="0" xfId="0" applyNumberFormat="1" applyFont="1" applyFill="1" applyAlignment="1" applyProtection="1">
      <alignment/>
      <protection locked="0"/>
    </xf>
    <xf numFmtId="0" fontId="50" fillId="9" borderId="28" xfId="0" applyFont="1" applyFill="1" applyBorder="1" applyAlignment="1" applyProtection="1">
      <alignment horizont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KSU Crop budgets (Kevin Herbe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12</xdr:col>
      <xdr:colOff>9525</xdr:colOff>
      <xdr:row>6</xdr:row>
      <xdr:rowOff>161925</xdr:rowOff>
    </xdr:to>
    <xdr:pic>
      <xdr:nvPicPr>
        <xdr:cNvPr id="1" name="Picture 1"/>
        <xdr:cNvPicPr preferRelativeResize="1">
          <a:picLocks noChangeAspect="1"/>
        </xdr:cNvPicPr>
      </xdr:nvPicPr>
      <xdr:blipFill>
        <a:blip r:embed="rId1"/>
        <a:stretch>
          <a:fillRect/>
        </a:stretch>
      </xdr:blipFill>
      <xdr:spPr>
        <a:xfrm>
          <a:off x="95250" y="95250"/>
          <a:ext cx="67341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xdr:row>
      <xdr:rowOff>114300</xdr:rowOff>
    </xdr:from>
    <xdr:to>
      <xdr:col>7</xdr:col>
      <xdr:colOff>342900</xdr:colOff>
      <xdr:row>4</xdr:row>
      <xdr:rowOff>95250</xdr:rowOff>
    </xdr:to>
    <xdr:sp>
      <xdr:nvSpPr>
        <xdr:cNvPr id="1" name="Rectangle 1"/>
        <xdr:cNvSpPr>
          <a:spLocks/>
        </xdr:cNvSpPr>
      </xdr:nvSpPr>
      <xdr:spPr>
        <a:xfrm>
          <a:off x="2590800" y="276225"/>
          <a:ext cx="18859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Land with expiring CRP Contract</a:t>
          </a:r>
        </a:p>
      </xdr:txBody>
    </xdr:sp>
    <xdr:clientData/>
  </xdr:twoCellAnchor>
  <xdr:twoCellAnchor>
    <xdr:from>
      <xdr:col>3</xdr:col>
      <xdr:colOff>85725</xdr:colOff>
      <xdr:row>4</xdr:row>
      <xdr:rowOff>95250</xdr:rowOff>
    </xdr:from>
    <xdr:to>
      <xdr:col>5</xdr:col>
      <xdr:colOff>581025</xdr:colOff>
      <xdr:row>6</xdr:row>
      <xdr:rowOff>9525</xdr:rowOff>
    </xdr:to>
    <xdr:sp>
      <xdr:nvSpPr>
        <xdr:cNvPr id="2" name="AutoShape 2"/>
        <xdr:cNvSpPr>
          <a:spLocks/>
        </xdr:cNvSpPr>
      </xdr:nvSpPr>
      <xdr:spPr>
        <a:xfrm flipH="1">
          <a:off x="1857375" y="828675"/>
          <a:ext cx="1676400" cy="2667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6</xdr:row>
      <xdr:rowOff>0</xdr:rowOff>
    </xdr:from>
    <xdr:to>
      <xdr:col>10</xdr:col>
      <xdr:colOff>76200</xdr:colOff>
      <xdr:row>9</xdr:row>
      <xdr:rowOff>19050</xdr:rowOff>
    </xdr:to>
    <xdr:sp>
      <xdr:nvSpPr>
        <xdr:cNvPr id="3" name="Rectangle 3"/>
        <xdr:cNvSpPr>
          <a:spLocks/>
        </xdr:cNvSpPr>
      </xdr:nvSpPr>
      <xdr:spPr>
        <a:xfrm>
          <a:off x="4486275" y="1085850"/>
          <a:ext cx="149542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Accepted for renewal in CRP</a:t>
          </a:r>
        </a:p>
      </xdr:txBody>
    </xdr:sp>
    <xdr:clientData/>
  </xdr:twoCellAnchor>
  <xdr:twoCellAnchor>
    <xdr:from>
      <xdr:col>1</xdr:col>
      <xdr:colOff>514350</xdr:colOff>
      <xdr:row>6</xdr:row>
      <xdr:rowOff>9525</xdr:rowOff>
    </xdr:from>
    <xdr:to>
      <xdr:col>4</xdr:col>
      <xdr:colOff>238125</xdr:colOff>
      <xdr:row>9</xdr:row>
      <xdr:rowOff>28575</xdr:rowOff>
    </xdr:to>
    <xdr:sp>
      <xdr:nvSpPr>
        <xdr:cNvPr id="4" name="Rectangle 4"/>
        <xdr:cNvSpPr>
          <a:spLocks/>
        </xdr:cNvSpPr>
      </xdr:nvSpPr>
      <xdr:spPr>
        <a:xfrm>
          <a:off x="1104900" y="1095375"/>
          <a:ext cx="149542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Not Accepted for renewal in CRP</a:t>
          </a:r>
        </a:p>
      </xdr:txBody>
    </xdr:sp>
    <xdr:clientData/>
  </xdr:twoCellAnchor>
  <xdr:twoCellAnchor>
    <xdr:from>
      <xdr:col>5</xdr:col>
      <xdr:colOff>581025</xdr:colOff>
      <xdr:row>4</xdr:row>
      <xdr:rowOff>95250</xdr:rowOff>
    </xdr:from>
    <xdr:to>
      <xdr:col>8</xdr:col>
      <xdr:colOff>504825</xdr:colOff>
      <xdr:row>6</xdr:row>
      <xdr:rowOff>0</xdr:rowOff>
    </xdr:to>
    <xdr:sp>
      <xdr:nvSpPr>
        <xdr:cNvPr id="5" name="AutoShape 5"/>
        <xdr:cNvSpPr>
          <a:spLocks/>
        </xdr:cNvSpPr>
      </xdr:nvSpPr>
      <xdr:spPr>
        <a:xfrm>
          <a:off x="3533775" y="828675"/>
          <a:ext cx="1695450" cy="2571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10</xdr:row>
      <xdr:rowOff>19050</xdr:rowOff>
    </xdr:from>
    <xdr:to>
      <xdr:col>11</xdr:col>
      <xdr:colOff>542925</xdr:colOff>
      <xdr:row>13</xdr:row>
      <xdr:rowOff>85725</xdr:rowOff>
    </xdr:to>
    <xdr:sp>
      <xdr:nvSpPr>
        <xdr:cNvPr id="6" name="Rectangle 6"/>
        <xdr:cNvSpPr>
          <a:spLocks/>
        </xdr:cNvSpPr>
      </xdr:nvSpPr>
      <xdr:spPr>
        <a:xfrm>
          <a:off x="5591175" y="1752600"/>
          <a:ext cx="144780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Sign up for CRP under new contract</a:t>
          </a:r>
        </a:p>
      </xdr:txBody>
    </xdr:sp>
    <xdr:clientData/>
  </xdr:twoCellAnchor>
  <xdr:twoCellAnchor>
    <xdr:from>
      <xdr:col>8</xdr:col>
      <xdr:colOff>504825</xdr:colOff>
      <xdr:row>9</xdr:row>
      <xdr:rowOff>19050</xdr:rowOff>
    </xdr:from>
    <xdr:to>
      <xdr:col>10</xdr:col>
      <xdr:colOff>409575</xdr:colOff>
      <xdr:row>10</xdr:row>
      <xdr:rowOff>19050</xdr:rowOff>
    </xdr:to>
    <xdr:sp>
      <xdr:nvSpPr>
        <xdr:cNvPr id="7" name="AutoShape 7"/>
        <xdr:cNvSpPr>
          <a:spLocks/>
        </xdr:cNvSpPr>
      </xdr:nvSpPr>
      <xdr:spPr>
        <a:xfrm>
          <a:off x="5229225" y="1590675"/>
          <a:ext cx="1085850" cy="1619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8</xdr:col>
      <xdr:colOff>295275</xdr:colOff>
      <xdr:row>13</xdr:row>
      <xdr:rowOff>85725</xdr:rowOff>
    </xdr:to>
    <xdr:sp>
      <xdr:nvSpPr>
        <xdr:cNvPr id="8" name="Rectangle 8"/>
        <xdr:cNvSpPr>
          <a:spLocks/>
        </xdr:cNvSpPr>
      </xdr:nvSpPr>
      <xdr:spPr>
        <a:xfrm>
          <a:off x="3543300" y="1733550"/>
          <a:ext cx="1476375"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Compare other options with proposed CRP contract</a:t>
          </a:r>
        </a:p>
      </xdr:txBody>
    </xdr:sp>
    <xdr:clientData/>
  </xdr:twoCellAnchor>
  <xdr:twoCellAnchor>
    <xdr:from>
      <xdr:col>7</xdr:col>
      <xdr:colOff>152400</xdr:colOff>
      <xdr:row>9</xdr:row>
      <xdr:rowOff>19050</xdr:rowOff>
    </xdr:from>
    <xdr:to>
      <xdr:col>8</xdr:col>
      <xdr:colOff>504825</xdr:colOff>
      <xdr:row>10</xdr:row>
      <xdr:rowOff>0</xdr:rowOff>
    </xdr:to>
    <xdr:sp>
      <xdr:nvSpPr>
        <xdr:cNvPr id="9" name="AutoShape 9"/>
        <xdr:cNvSpPr>
          <a:spLocks/>
        </xdr:cNvSpPr>
      </xdr:nvSpPr>
      <xdr:spPr>
        <a:xfrm flipH="1">
          <a:off x="4286250" y="1590675"/>
          <a:ext cx="942975" cy="1428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9</xdr:row>
      <xdr:rowOff>28575</xdr:rowOff>
    </xdr:from>
    <xdr:to>
      <xdr:col>3</xdr:col>
      <xdr:colOff>85725</xdr:colOff>
      <xdr:row>11</xdr:row>
      <xdr:rowOff>85725</xdr:rowOff>
    </xdr:to>
    <xdr:sp>
      <xdr:nvSpPr>
        <xdr:cNvPr id="10" name="AutoShape 10"/>
        <xdr:cNvSpPr>
          <a:spLocks/>
        </xdr:cNvSpPr>
      </xdr:nvSpPr>
      <xdr:spPr>
        <a:xfrm>
          <a:off x="1857375" y="1600200"/>
          <a:ext cx="0" cy="3810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15</xdr:row>
      <xdr:rowOff>19050</xdr:rowOff>
    </xdr:from>
    <xdr:to>
      <xdr:col>12</xdr:col>
      <xdr:colOff>342900</xdr:colOff>
      <xdr:row>18</xdr:row>
      <xdr:rowOff>38100</xdr:rowOff>
    </xdr:to>
    <xdr:sp>
      <xdr:nvSpPr>
        <xdr:cNvPr id="11" name="Rectangle 11"/>
        <xdr:cNvSpPr>
          <a:spLocks/>
        </xdr:cNvSpPr>
      </xdr:nvSpPr>
      <xdr:spPr>
        <a:xfrm>
          <a:off x="6115050" y="2562225"/>
          <a:ext cx="131445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Arial"/>
              <a:ea typeface="Arial"/>
              <a:cs typeface="Arial"/>
            </a:rPr>
            <a:t>Possible wildlife or recreational uses while in CRP</a:t>
          </a:r>
        </a:p>
      </xdr:txBody>
    </xdr:sp>
    <xdr:clientData/>
  </xdr:twoCellAnchor>
  <xdr:twoCellAnchor>
    <xdr:from>
      <xdr:col>10</xdr:col>
      <xdr:colOff>209550</xdr:colOff>
      <xdr:row>19</xdr:row>
      <xdr:rowOff>85725</xdr:rowOff>
    </xdr:from>
    <xdr:to>
      <xdr:col>12</xdr:col>
      <xdr:colOff>352425</xdr:colOff>
      <xdr:row>22</xdr:row>
      <xdr:rowOff>104775</xdr:rowOff>
    </xdr:to>
    <xdr:sp>
      <xdr:nvSpPr>
        <xdr:cNvPr id="12" name="Rectangle 12"/>
        <xdr:cNvSpPr>
          <a:spLocks/>
        </xdr:cNvSpPr>
      </xdr:nvSpPr>
      <xdr:spPr>
        <a:xfrm>
          <a:off x="6115050" y="3276600"/>
          <a:ext cx="13239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Arial"/>
              <a:ea typeface="Arial"/>
              <a:cs typeface="Arial"/>
            </a:rPr>
            <a:t>Consider managed haying or grazing while in CRP</a:t>
          </a:r>
        </a:p>
      </xdr:txBody>
    </xdr:sp>
    <xdr:clientData/>
  </xdr:twoCellAnchor>
  <xdr:twoCellAnchor>
    <xdr:from>
      <xdr:col>11</xdr:col>
      <xdr:colOff>276225</xdr:colOff>
      <xdr:row>18</xdr:row>
      <xdr:rowOff>38100</xdr:rowOff>
    </xdr:from>
    <xdr:to>
      <xdr:col>11</xdr:col>
      <xdr:colOff>285750</xdr:colOff>
      <xdr:row>19</xdr:row>
      <xdr:rowOff>85725</xdr:rowOff>
    </xdr:to>
    <xdr:sp>
      <xdr:nvSpPr>
        <xdr:cNvPr id="13" name="AutoShape 13"/>
        <xdr:cNvSpPr>
          <a:spLocks/>
        </xdr:cNvSpPr>
      </xdr:nvSpPr>
      <xdr:spPr>
        <a:xfrm>
          <a:off x="6772275" y="3067050"/>
          <a:ext cx="9525" cy="20955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13</xdr:row>
      <xdr:rowOff>85725</xdr:rowOff>
    </xdr:from>
    <xdr:to>
      <xdr:col>11</xdr:col>
      <xdr:colOff>276225</xdr:colOff>
      <xdr:row>15</xdr:row>
      <xdr:rowOff>19050</xdr:rowOff>
    </xdr:to>
    <xdr:sp>
      <xdr:nvSpPr>
        <xdr:cNvPr id="14" name="AutoShape 14"/>
        <xdr:cNvSpPr>
          <a:spLocks/>
        </xdr:cNvSpPr>
      </xdr:nvSpPr>
      <xdr:spPr>
        <a:xfrm>
          <a:off x="6315075" y="2305050"/>
          <a:ext cx="457200" cy="2571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11</xdr:row>
      <xdr:rowOff>85725</xdr:rowOff>
    </xdr:from>
    <xdr:to>
      <xdr:col>3</xdr:col>
      <xdr:colOff>133350</xdr:colOff>
      <xdr:row>12</xdr:row>
      <xdr:rowOff>0</xdr:rowOff>
    </xdr:to>
    <xdr:sp>
      <xdr:nvSpPr>
        <xdr:cNvPr id="15" name="AutoShape 15"/>
        <xdr:cNvSpPr>
          <a:spLocks/>
        </xdr:cNvSpPr>
      </xdr:nvSpPr>
      <xdr:spPr>
        <a:xfrm>
          <a:off x="1800225" y="1981200"/>
          <a:ext cx="104775" cy="762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15</xdr:row>
      <xdr:rowOff>95250</xdr:rowOff>
    </xdr:from>
    <xdr:to>
      <xdr:col>8</xdr:col>
      <xdr:colOff>533400</xdr:colOff>
      <xdr:row>19</xdr:row>
      <xdr:rowOff>0</xdr:rowOff>
    </xdr:to>
    <xdr:sp>
      <xdr:nvSpPr>
        <xdr:cNvPr id="16" name="AutoShape 16"/>
        <xdr:cNvSpPr>
          <a:spLocks/>
        </xdr:cNvSpPr>
      </xdr:nvSpPr>
      <xdr:spPr>
        <a:xfrm>
          <a:off x="3829050" y="2638425"/>
          <a:ext cx="1428750" cy="5524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Consider Selling the Land</a:t>
          </a:r>
        </a:p>
      </xdr:txBody>
    </xdr:sp>
    <xdr:clientData/>
  </xdr:twoCellAnchor>
  <xdr:twoCellAnchor>
    <xdr:from>
      <xdr:col>5</xdr:col>
      <xdr:colOff>180975</xdr:colOff>
      <xdr:row>19</xdr:row>
      <xdr:rowOff>133350</xdr:rowOff>
    </xdr:from>
    <xdr:to>
      <xdr:col>7</xdr:col>
      <xdr:colOff>419100</xdr:colOff>
      <xdr:row>23</xdr:row>
      <xdr:rowOff>38100</xdr:rowOff>
    </xdr:to>
    <xdr:sp>
      <xdr:nvSpPr>
        <xdr:cNvPr id="17" name="AutoShape 17"/>
        <xdr:cNvSpPr>
          <a:spLocks/>
        </xdr:cNvSpPr>
      </xdr:nvSpPr>
      <xdr:spPr>
        <a:xfrm>
          <a:off x="3133725" y="3324225"/>
          <a:ext cx="1419225" cy="5524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Return all or part of the Land to Crop Production</a:t>
          </a:r>
        </a:p>
      </xdr:txBody>
    </xdr:sp>
    <xdr:clientData/>
  </xdr:twoCellAnchor>
  <xdr:twoCellAnchor>
    <xdr:from>
      <xdr:col>2</xdr:col>
      <xdr:colOff>180975</xdr:colOff>
      <xdr:row>16</xdr:row>
      <xdr:rowOff>152400</xdr:rowOff>
    </xdr:from>
    <xdr:to>
      <xdr:col>4</xdr:col>
      <xdr:colOff>428625</xdr:colOff>
      <xdr:row>20</xdr:row>
      <xdr:rowOff>57150</xdr:rowOff>
    </xdr:to>
    <xdr:sp>
      <xdr:nvSpPr>
        <xdr:cNvPr id="18" name="AutoShape 18"/>
        <xdr:cNvSpPr>
          <a:spLocks/>
        </xdr:cNvSpPr>
      </xdr:nvSpPr>
      <xdr:spPr>
        <a:xfrm>
          <a:off x="1362075" y="2857500"/>
          <a:ext cx="1428750" cy="5524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Leave in Grass for Haying or Grazing</a:t>
          </a:r>
        </a:p>
      </xdr:txBody>
    </xdr:sp>
    <xdr:clientData/>
  </xdr:twoCellAnchor>
  <xdr:twoCellAnchor>
    <xdr:from>
      <xdr:col>3</xdr:col>
      <xdr:colOff>85725</xdr:colOff>
      <xdr:row>12</xdr:row>
      <xdr:rowOff>0</xdr:rowOff>
    </xdr:from>
    <xdr:to>
      <xdr:col>7</xdr:col>
      <xdr:colOff>409575</xdr:colOff>
      <xdr:row>15</xdr:row>
      <xdr:rowOff>95250</xdr:rowOff>
    </xdr:to>
    <xdr:sp>
      <xdr:nvSpPr>
        <xdr:cNvPr id="19" name="AutoShape 19"/>
        <xdr:cNvSpPr>
          <a:spLocks/>
        </xdr:cNvSpPr>
      </xdr:nvSpPr>
      <xdr:spPr>
        <a:xfrm>
          <a:off x="1857375" y="2057400"/>
          <a:ext cx="2686050" cy="5810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xdr:row>
      <xdr:rowOff>0</xdr:rowOff>
    </xdr:from>
    <xdr:to>
      <xdr:col>6</xdr:col>
      <xdr:colOff>304800</xdr:colOff>
      <xdr:row>19</xdr:row>
      <xdr:rowOff>133350</xdr:rowOff>
    </xdr:to>
    <xdr:sp>
      <xdr:nvSpPr>
        <xdr:cNvPr id="20" name="AutoShape 20"/>
        <xdr:cNvSpPr>
          <a:spLocks/>
        </xdr:cNvSpPr>
      </xdr:nvSpPr>
      <xdr:spPr>
        <a:xfrm>
          <a:off x="1857375" y="2057400"/>
          <a:ext cx="1990725" cy="12668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xdr:row>
      <xdr:rowOff>0</xdr:rowOff>
    </xdr:from>
    <xdr:to>
      <xdr:col>3</xdr:col>
      <xdr:colOff>314325</xdr:colOff>
      <xdr:row>16</xdr:row>
      <xdr:rowOff>152400</xdr:rowOff>
    </xdr:to>
    <xdr:sp>
      <xdr:nvSpPr>
        <xdr:cNvPr id="21" name="AutoShape 21"/>
        <xdr:cNvSpPr>
          <a:spLocks/>
        </xdr:cNvSpPr>
      </xdr:nvSpPr>
      <xdr:spPr>
        <a:xfrm>
          <a:off x="1857375" y="2057400"/>
          <a:ext cx="228600" cy="8001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11</xdr:row>
      <xdr:rowOff>123825</xdr:rowOff>
    </xdr:from>
    <xdr:to>
      <xdr:col>6</xdr:col>
      <xdr:colOff>0</xdr:colOff>
      <xdr:row>11</xdr:row>
      <xdr:rowOff>123825</xdr:rowOff>
    </xdr:to>
    <xdr:sp>
      <xdr:nvSpPr>
        <xdr:cNvPr id="22" name="AutoShape 22"/>
        <xdr:cNvSpPr>
          <a:spLocks/>
        </xdr:cNvSpPr>
      </xdr:nvSpPr>
      <xdr:spPr>
        <a:xfrm flipH="1">
          <a:off x="1905000" y="2019300"/>
          <a:ext cx="16383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13</xdr:row>
      <xdr:rowOff>28575</xdr:rowOff>
    </xdr:from>
    <xdr:to>
      <xdr:col>2</xdr:col>
      <xdr:colOff>209550</xdr:colOff>
      <xdr:row>16</xdr:row>
      <xdr:rowOff>47625</xdr:rowOff>
    </xdr:to>
    <xdr:sp>
      <xdr:nvSpPr>
        <xdr:cNvPr id="23" name="Rectangle 23"/>
        <xdr:cNvSpPr>
          <a:spLocks/>
        </xdr:cNvSpPr>
      </xdr:nvSpPr>
      <xdr:spPr>
        <a:xfrm>
          <a:off x="76200" y="2247900"/>
          <a:ext cx="131445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Possible wildlife or recreational uses</a:t>
          </a:r>
        </a:p>
      </xdr:txBody>
    </xdr:sp>
    <xdr:clientData/>
  </xdr:twoCellAnchor>
  <xdr:twoCellAnchor>
    <xdr:from>
      <xdr:col>1</xdr:col>
      <xdr:colOff>152400</xdr:colOff>
      <xdr:row>11</xdr:row>
      <xdr:rowOff>123825</xdr:rowOff>
    </xdr:from>
    <xdr:to>
      <xdr:col>3</xdr:col>
      <xdr:colOff>28575</xdr:colOff>
      <xdr:row>13</xdr:row>
      <xdr:rowOff>28575</xdr:rowOff>
    </xdr:to>
    <xdr:sp>
      <xdr:nvSpPr>
        <xdr:cNvPr id="24" name="AutoShape 24"/>
        <xdr:cNvSpPr>
          <a:spLocks/>
        </xdr:cNvSpPr>
      </xdr:nvSpPr>
      <xdr:spPr>
        <a:xfrm flipH="1">
          <a:off x="742950" y="2019300"/>
          <a:ext cx="1057275" cy="2286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23</xdr:row>
      <xdr:rowOff>95250</xdr:rowOff>
    </xdr:from>
    <xdr:to>
      <xdr:col>4</xdr:col>
      <xdr:colOff>476250</xdr:colOff>
      <xdr:row>26</xdr:row>
      <xdr:rowOff>66675</xdr:rowOff>
    </xdr:to>
    <xdr:sp>
      <xdr:nvSpPr>
        <xdr:cNvPr id="25" name="AutoShape 25"/>
        <xdr:cNvSpPr>
          <a:spLocks/>
        </xdr:cNvSpPr>
      </xdr:nvSpPr>
      <xdr:spPr>
        <a:xfrm>
          <a:off x="1609725" y="3933825"/>
          <a:ext cx="1228725" cy="4572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Lease Land out to other operator</a:t>
          </a:r>
        </a:p>
      </xdr:txBody>
    </xdr:sp>
    <xdr:clientData/>
  </xdr:twoCellAnchor>
  <xdr:twoCellAnchor>
    <xdr:from>
      <xdr:col>3</xdr:col>
      <xdr:colOff>314325</xdr:colOff>
      <xdr:row>20</xdr:row>
      <xdr:rowOff>57150</xdr:rowOff>
    </xdr:from>
    <xdr:to>
      <xdr:col>3</xdr:col>
      <xdr:colOff>447675</xdr:colOff>
      <xdr:row>23</xdr:row>
      <xdr:rowOff>95250</xdr:rowOff>
    </xdr:to>
    <xdr:sp>
      <xdr:nvSpPr>
        <xdr:cNvPr id="26" name="AutoShape 26"/>
        <xdr:cNvSpPr>
          <a:spLocks/>
        </xdr:cNvSpPr>
      </xdr:nvSpPr>
      <xdr:spPr>
        <a:xfrm>
          <a:off x="2085975" y="3409950"/>
          <a:ext cx="133350" cy="5238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25</xdr:row>
      <xdr:rowOff>19050</xdr:rowOff>
    </xdr:from>
    <xdr:to>
      <xdr:col>10</xdr:col>
      <xdr:colOff>47625</xdr:colOff>
      <xdr:row>27</xdr:row>
      <xdr:rowOff>114300</xdr:rowOff>
    </xdr:to>
    <xdr:sp>
      <xdr:nvSpPr>
        <xdr:cNvPr id="27" name="AutoShape 27"/>
        <xdr:cNvSpPr>
          <a:spLocks/>
        </xdr:cNvSpPr>
      </xdr:nvSpPr>
      <xdr:spPr>
        <a:xfrm>
          <a:off x="4657725" y="4181475"/>
          <a:ext cx="1295400" cy="4191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Consider tillage system to use</a:t>
          </a:r>
        </a:p>
      </xdr:txBody>
    </xdr:sp>
    <xdr:clientData/>
  </xdr:twoCellAnchor>
  <xdr:twoCellAnchor>
    <xdr:from>
      <xdr:col>7</xdr:col>
      <xdr:colOff>457200</xdr:colOff>
      <xdr:row>29</xdr:row>
      <xdr:rowOff>47625</xdr:rowOff>
    </xdr:from>
    <xdr:to>
      <xdr:col>10</xdr:col>
      <xdr:colOff>114300</xdr:colOff>
      <xdr:row>33</xdr:row>
      <xdr:rowOff>19050</xdr:rowOff>
    </xdr:to>
    <xdr:sp>
      <xdr:nvSpPr>
        <xdr:cNvPr id="28" name="AutoShape 28"/>
        <xdr:cNvSpPr>
          <a:spLocks/>
        </xdr:cNvSpPr>
      </xdr:nvSpPr>
      <xdr:spPr>
        <a:xfrm>
          <a:off x="4591050" y="4857750"/>
          <a:ext cx="1428750" cy="6191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Consideration of individual crops and crop rotations</a:t>
          </a:r>
        </a:p>
      </xdr:txBody>
    </xdr:sp>
    <xdr:clientData/>
  </xdr:twoCellAnchor>
  <xdr:twoCellAnchor>
    <xdr:from>
      <xdr:col>6</xdr:col>
      <xdr:colOff>304800</xdr:colOff>
      <xdr:row>23</xdr:row>
      <xdr:rowOff>38100</xdr:rowOff>
    </xdr:from>
    <xdr:to>
      <xdr:col>8</xdr:col>
      <xdr:colOff>581025</xdr:colOff>
      <xdr:row>25</xdr:row>
      <xdr:rowOff>19050</xdr:rowOff>
    </xdr:to>
    <xdr:sp>
      <xdr:nvSpPr>
        <xdr:cNvPr id="29" name="AutoShape 29"/>
        <xdr:cNvSpPr>
          <a:spLocks/>
        </xdr:cNvSpPr>
      </xdr:nvSpPr>
      <xdr:spPr>
        <a:xfrm>
          <a:off x="3848100" y="3876675"/>
          <a:ext cx="14573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581025</xdr:colOff>
      <xdr:row>27</xdr:row>
      <xdr:rowOff>114300</xdr:rowOff>
    </xdr:from>
    <xdr:to>
      <xdr:col>8</xdr:col>
      <xdr:colOff>581025</xdr:colOff>
      <xdr:row>29</xdr:row>
      <xdr:rowOff>47625</xdr:rowOff>
    </xdr:to>
    <xdr:sp>
      <xdr:nvSpPr>
        <xdr:cNvPr id="30" name="AutoShape 30"/>
        <xdr:cNvSpPr>
          <a:spLocks/>
        </xdr:cNvSpPr>
      </xdr:nvSpPr>
      <xdr:spPr>
        <a:xfrm>
          <a:off x="5305425" y="4600575"/>
          <a:ext cx="0" cy="2571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25</xdr:row>
      <xdr:rowOff>123825</xdr:rowOff>
    </xdr:from>
    <xdr:to>
      <xdr:col>7</xdr:col>
      <xdr:colOff>333375</xdr:colOff>
      <xdr:row>31</xdr:row>
      <xdr:rowOff>47625</xdr:rowOff>
    </xdr:to>
    <xdr:sp>
      <xdr:nvSpPr>
        <xdr:cNvPr id="31" name="AutoShape 31"/>
        <xdr:cNvSpPr>
          <a:spLocks/>
        </xdr:cNvSpPr>
      </xdr:nvSpPr>
      <xdr:spPr>
        <a:xfrm>
          <a:off x="2943225" y="4286250"/>
          <a:ext cx="1524000" cy="8953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Arial"/>
              <a:ea typeface="Arial"/>
              <a:cs typeface="Arial"/>
            </a:rPr>
            <a:t>Consider other government program participation on all or part of the land--EQIP, CSP, CCRP, etc.</a:t>
          </a:r>
        </a:p>
      </xdr:txBody>
    </xdr:sp>
    <xdr:clientData/>
  </xdr:twoCellAnchor>
  <xdr:twoCellAnchor>
    <xdr:from>
      <xdr:col>6</xdr:col>
      <xdr:colOff>161925</xdr:colOff>
      <xdr:row>23</xdr:row>
      <xdr:rowOff>38100</xdr:rowOff>
    </xdr:from>
    <xdr:to>
      <xdr:col>6</xdr:col>
      <xdr:colOff>304800</xdr:colOff>
      <xdr:row>25</xdr:row>
      <xdr:rowOff>123825</xdr:rowOff>
    </xdr:to>
    <xdr:sp>
      <xdr:nvSpPr>
        <xdr:cNvPr id="32" name="AutoShape 32"/>
        <xdr:cNvSpPr>
          <a:spLocks/>
        </xdr:cNvSpPr>
      </xdr:nvSpPr>
      <xdr:spPr>
        <a:xfrm flipH="1">
          <a:off x="3705225" y="3876675"/>
          <a:ext cx="142875" cy="40957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20</xdr:row>
      <xdr:rowOff>57150</xdr:rowOff>
    </xdr:from>
    <xdr:to>
      <xdr:col>6</xdr:col>
      <xdr:colOff>161925</xdr:colOff>
      <xdr:row>25</xdr:row>
      <xdr:rowOff>123825</xdr:rowOff>
    </xdr:to>
    <xdr:sp>
      <xdr:nvSpPr>
        <xdr:cNvPr id="33" name="AutoShape 33"/>
        <xdr:cNvSpPr>
          <a:spLocks/>
        </xdr:cNvSpPr>
      </xdr:nvSpPr>
      <xdr:spPr>
        <a:xfrm>
          <a:off x="2085975" y="3409950"/>
          <a:ext cx="1619250" cy="8763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23</xdr:row>
      <xdr:rowOff>38100</xdr:rowOff>
    </xdr:from>
    <xdr:to>
      <xdr:col>6</xdr:col>
      <xdr:colOff>304800</xdr:colOff>
      <xdr:row>25</xdr:row>
      <xdr:rowOff>0</xdr:rowOff>
    </xdr:to>
    <xdr:sp>
      <xdr:nvSpPr>
        <xdr:cNvPr id="34" name="AutoShape 34"/>
        <xdr:cNvSpPr>
          <a:spLocks/>
        </xdr:cNvSpPr>
      </xdr:nvSpPr>
      <xdr:spPr>
        <a:xfrm flipH="1">
          <a:off x="2838450" y="3876675"/>
          <a:ext cx="1009650"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247650</xdr:colOff>
      <xdr:row>32</xdr:row>
      <xdr:rowOff>123825</xdr:rowOff>
    </xdr:from>
    <xdr:ext cx="76200" cy="200025"/>
    <xdr:sp>
      <xdr:nvSpPr>
        <xdr:cNvPr id="35" name="TextBox 35"/>
        <xdr:cNvSpPr txBox="1">
          <a:spLocks noChangeArrowheads="1"/>
        </xdr:cNvSpPr>
      </xdr:nvSpPr>
      <xdr:spPr>
        <a:xfrm>
          <a:off x="1428750" y="5419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herbel@ksu.edu" TargetMode="External" /><Relationship Id="rId2" Type="http://schemas.openxmlformats.org/officeDocument/2006/relationships/hyperlink" Target="http://www.agmanager.info/" TargetMode="External" /><Relationship Id="rId3" Type="http://schemas.openxmlformats.org/officeDocument/2006/relationships/hyperlink" Target="mailto:jonesrd@agecon.ksu.ed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8:L60"/>
  <sheetViews>
    <sheetView showGridLines="0" tabSelected="1" workbookViewId="0" topLeftCell="A1">
      <selection activeCell="B2" sqref="B2"/>
    </sheetView>
  </sheetViews>
  <sheetFormatPr defaultColWidth="9.140625" defaultRowHeight="12.75"/>
  <cols>
    <col min="1" max="1" width="1.7109375" style="0" customWidth="1"/>
  </cols>
  <sheetData>
    <row r="7" ht="13.5" thickBot="1"/>
    <row r="8" spans="2:12" ht="6" customHeight="1">
      <c r="B8" s="3"/>
      <c r="C8" s="4"/>
      <c r="D8" s="4"/>
      <c r="E8" s="4"/>
      <c r="F8" s="4"/>
      <c r="G8" s="4"/>
      <c r="H8" s="4"/>
      <c r="I8" s="4"/>
      <c r="J8" s="4"/>
      <c r="K8" s="4"/>
      <c r="L8" s="5"/>
    </row>
    <row r="9" spans="2:12" ht="25.5">
      <c r="B9" s="6"/>
      <c r="C9" s="12" t="s">
        <v>0</v>
      </c>
      <c r="D9" s="1"/>
      <c r="E9" s="1"/>
      <c r="F9" s="1"/>
      <c r="G9" s="1"/>
      <c r="H9" s="1"/>
      <c r="I9" s="1"/>
      <c r="J9" s="1"/>
      <c r="K9" s="1"/>
      <c r="L9" s="7"/>
    </row>
    <row r="10" spans="2:12" ht="6" customHeight="1">
      <c r="B10" s="6"/>
      <c r="C10" s="12"/>
      <c r="D10" s="1"/>
      <c r="E10" s="1"/>
      <c r="F10" s="1"/>
      <c r="G10" s="1"/>
      <c r="H10" s="1"/>
      <c r="I10" s="1"/>
      <c r="J10" s="1"/>
      <c r="K10" s="1"/>
      <c r="L10" s="7"/>
    </row>
    <row r="11" spans="2:12" ht="23.25">
      <c r="B11" s="6"/>
      <c r="C11" s="13" t="s">
        <v>1</v>
      </c>
      <c r="D11" s="1"/>
      <c r="E11" s="1"/>
      <c r="F11" s="1"/>
      <c r="G11" s="1"/>
      <c r="H11" s="1"/>
      <c r="I11" s="1"/>
      <c r="J11" s="1"/>
      <c r="K11" s="1"/>
      <c r="L11" s="7"/>
    </row>
    <row r="12" spans="2:12" ht="15.75">
      <c r="B12" s="6"/>
      <c r="C12" s="14" t="s">
        <v>2</v>
      </c>
      <c r="D12" s="1"/>
      <c r="E12" s="1"/>
      <c r="F12" s="1"/>
      <c r="G12" s="1"/>
      <c r="H12" s="1"/>
      <c r="I12" s="1"/>
      <c r="J12" s="1"/>
      <c r="K12" s="1"/>
      <c r="L12" s="7"/>
    </row>
    <row r="13" spans="2:12" ht="15.75">
      <c r="B13" s="6"/>
      <c r="C13" s="14" t="s">
        <v>3</v>
      </c>
      <c r="D13" s="1"/>
      <c r="E13" s="1"/>
      <c r="F13" s="1"/>
      <c r="G13" s="1"/>
      <c r="H13" s="1"/>
      <c r="I13" s="1"/>
      <c r="J13" s="1"/>
      <c r="K13" s="1"/>
      <c r="L13" s="7"/>
    </row>
    <row r="14" spans="2:12" ht="15.75">
      <c r="B14" s="6"/>
      <c r="C14" s="14"/>
      <c r="D14" s="1"/>
      <c r="E14" s="1"/>
      <c r="F14" s="1"/>
      <c r="G14" s="1"/>
      <c r="H14" s="1"/>
      <c r="I14" s="1"/>
      <c r="J14" s="1"/>
      <c r="K14" s="1"/>
      <c r="L14" s="7"/>
    </row>
    <row r="15" spans="2:12" ht="13.5" thickBot="1">
      <c r="B15" s="8"/>
      <c r="C15" s="9" t="s">
        <v>251</v>
      </c>
      <c r="D15" s="10"/>
      <c r="E15" s="10"/>
      <c r="F15" s="10"/>
      <c r="G15" s="10"/>
      <c r="H15" s="10"/>
      <c r="I15" s="10"/>
      <c r="J15" s="10"/>
      <c r="K15" s="10"/>
      <c r="L15" s="11"/>
    </row>
    <row r="18" ht="15.75">
      <c r="B18" s="2" t="s">
        <v>155</v>
      </c>
    </row>
    <row r="19" ht="14.25">
      <c r="B19" s="16" t="s">
        <v>13</v>
      </c>
    </row>
    <row r="20" ht="14.25">
      <c r="B20" s="16" t="s">
        <v>15</v>
      </c>
    </row>
    <row r="21" ht="14.25">
      <c r="B21" s="18" t="s">
        <v>16</v>
      </c>
    </row>
    <row r="22" ht="14.25">
      <c r="B22" s="19" t="s">
        <v>43</v>
      </c>
    </row>
    <row r="23" ht="14.25">
      <c r="B23" s="19" t="s">
        <v>228</v>
      </c>
    </row>
    <row r="24" ht="14.25">
      <c r="B24" s="19" t="s">
        <v>229</v>
      </c>
    </row>
    <row r="25" ht="14.25">
      <c r="B25" s="19"/>
    </row>
    <row r="26" ht="15.75">
      <c r="B26" s="2" t="s">
        <v>156</v>
      </c>
    </row>
    <row r="27" ht="15">
      <c r="B27" s="15" t="s">
        <v>14</v>
      </c>
    </row>
    <row r="28" ht="14.25">
      <c r="B28" s="16" t="s">
        <v>4</v>
      </c>
    </row>
    <row r="29" ht="14.25">
      <c r="B29" s="16" t="s">
        <v>5</v>
      </c>
    </row>
    <row r="30" ht="14.25">
      <c r="B30" s="16" t="s">
        <v>6</v>
      </c>
    </row>
    <row r="31" ht="14.25">
      <c r="B31" s="16" t="s">
        <v>252</v>
      </c>
    </row>
    <row r="32" ht="14.25">
      <c r="B32" s="16" t="s">
        <v>253</v>
      </c>
    </row>
    <row r="33" ht="14.25">
      <c r="B33" s="16" t="s">
        <v>254</v>
      </c>
    </row>
    <row r="35" ht="15">
      <c r="B35" s="15" t="s">
        <v>7</v>
      </c>
    </row>
    <row r="36" ht="14.25">
      <c r="B36" s="16" t="s">
        <v>230</v>
      </c>
    </row>
    <row r="37" ht="14.25">
      <c r="B37" s="16" t="s">
        <v>231</v>
      </c>
    </row>
    <row r="38" ht="14.25">
      <c r="B38" s="16" t="s">
        <v>232</v>
      </c>
    </row>
    <row r="39" ht="14.25">
      <c r="B39" s="16"/>
    </row>
    <row r="40" ht="15">
      <c r="B40" s="15" t="s">
        <v>17</v>
      </c>
    </row>
    <row r="41" ht="14.25">
      <c r="B41" s="18" t="s">
        <v>18</v>
      </c>
    </row>
    <row r="42" ht="14.25">
      <c r="B42" s="16" t="s">
        <v>19</v>
      </c>
    </row>
    <row r="43" ht="14.25">
      <c r="B43" s="18" t="s">
        <v>20</v>
      </c>
    </row>
    <row r="44" ht="14.25">
      <c r="B44" s="16" t="s">
        <v>21</v>
      </c>
    </row>
    <row r="45" ht="14.25">
      <c r="B45" s="16" t="s">
        <v>22</v>
      </c>
    </row>
    <row r="46" ht="14.25">
      <c r="B46" s="18" t="s">
        <v>23</v>
      </c>
    </row>
    <row r="47" ht="14.25">
      <c r="B47" s="16" t="s">
        <v>30</v>
      </c>
    </row>
    <row r="48" ht="14.25">
      <c r="B48" s="18" t="s">
        <v>24</v>
      </c>
    </row>
    <row r="49" ht="14.25">
      <c r="B49" s="16" t="s">
        <v>25</v>
      </c>
    </row>
    <row r="50" ht="14.25">
      <c r="B50" s="16" t="s">
        <v>26</v>
      </c>
    </row>
    <row r="51" spans="2:5" ht="14.25">
      <c r="B51" s="20" t="s">
        <v>27</v>
      </c>
      <c r="E51" s="21" t="s">
        <v>250</v>
      </c>
    </row>
    <row r="52" ht="14.25">
      <c r="B52" s="16" t="s">
        <v>29</v>
      </c>
    </row>
    <row r="53" ht="14.25">
      <c r="B53" s="16" t="s">
        <v>28</v>
      </c>
    </row>
    <row r="54" ht="14.25">
      <c r="B54" s="16"/>
    </row>
    <row r="55" spans="2:8" ht="14.25">
      <c r="B55" s="16" t="s">
        <v>8</v>
      </c>
      <c r="D55" s="16" t="s">
        <v>9</v>
      </c>
      <c r="H55" s="16" t="s">
        <v>249</v>
      </c>
    </row>
    <row r="56" spans="4:8" ht="14.25">
      <c r="D56" s="16" t="s">
        <v>10</v>
      </c>
      <c r="H56" s="16" t="s">
        <v>247</v>
      </c>
    </row>
    <row r="57" spans="4:8" ht="14.25">
      <c r="D57" s="16" t="s">
        <v>11</v>
      </c>
      <c r="H57" s="16" t="s">
        <v>11</v>
      </c>
    </row>
    <row r="58" spans="4:8" ht="14.25">
      <c r="D58" s="17" t="s">
        <v>12</v>
      </c>
      <c r="H58" s="17" t="s">
        <v>248</v>
      </c>
    </row>
    <row r="60" ht="12.75">
      <c r="B60" s="268" t="s">
        <v>255</v>
      </c>
    </row>
  </sheetData>
  <sheetProtection password="CBAF" sheet="1" objects="1" scenarios="1" selectLockedCells="1" selectUnlockedCells="1"/>
  <hyperlinks>
    <hyperlink ref="D58" r:id="rId1" display="kherbel@ksu.edu"/>
    <hyperlink ref="B51" r:id="rId2" display="www.agmanager.info"/>
    <hyperlink ref="H58" r:id="rId3" display="jonesrd@agecon.ksu.edu"/>
  </hyperlinks>
  <printOptions/>
  <pageMargins left="0.47" right="0.45" top="0.38" bottom="0.22" header="0.5" footer="0.26"/>
  <pageSetup orientation="portrait" r:id="rId5"/>
  <drawing r:id="rId4"/>
</worksheet>
</file>

<file path=xl/worksheets/sheet2.xml><?xml version="1.0" encoding="utf-8"?>
<worksheet xmlns="http://schemas.openxmlformats.org/spreadsheetml/2006/main" xmlns:r="http://schemas.openxmlformats.org/officeDocument/2006/relationships">
  <sheetPr codeName="Sheet3"/>
  <dimension ref="A1:N40"/>
  <sheetViews>
    <sheetView showGridLines="0" workbookViewId="0" topLeftCell="A1">
      <selection activeCell="F3" sqref="F3"/>
    </sheetView>
  </sheetViews>
  <sheetFormatPr defaultColWidth="8.8515625" defaultRowHeight="12.75"/>
  <cols>
    <col min="1" max="16384" width="8.8515625" style="214" customWidth="1"/>
  </cols>
  <sheetData>
    <row r="1" spans="1:14" ht="12.75">
      <c r="A1" s="220"/>
      <c r="B1" s="220"/>
      <c r="C1" s="220"/>
      <c r="D1" s="220"/>
      <c r="E1" s="220"/>
      <c r="F1" s="220"/>
      <c r="G1" s="220"/>
      <c r="H1" s="220"/>
      <c r="I1" s="220"/>
      <c r="J1" s="220"/>
      <c r="K1" s="220"/>
      <c r="L1" s="220"/>
      <c r="M1" s="220"/>
      <c r="N1" s="220"/>
    </row>
    <row r="2" spans="1:14" ht="15">
      <c r="A2" s="221"/>
      <c r="B2" s="220"/>
      <c r="C2" s="220"/>
      <c r="D2" s="220"/>
      <c r="E2" s="220"/>
      <c r="F2" s="220"/>
      <c r="G2" s="220"/>
      <c r="H2" s="220"/>
      <c r="I2" s="220"/>
      <c r="J2" s="220"/>
      <c r="K2" s="220"/>
      <c r="L2" s="220"/>
      <c r="M2" s="220"/>
      <c r="N2" s="220"/>
    </row>
    <row r="3" spans="1:14" ht="15">
      <c r="A3" s="221"/>
      <c r="B3" s="220"/>
      <c r="C3" s="220"/>
      <c r="D3" s="220"/>
      <c r="E3" s="220"/>
      <c r="F3" s="220"/>
      <c r="G3" s="220"/>
      <c r="H3" s="220"/>
      <c r="I3" s="220"/>
      <c r="J3" s="220"/>
      <c r="K3" s="220"/>
      <c r="L3" s="220"/>
      <c r="M3" s="220"/>
      <c r="N3" s="220"/>
    </row>
    <row r="4" spans="1:14" ht="15">
      <c r="A4" s="221"/>
      <c r="B4" s="220"/>
      <c r="C4" s="220"/>
      <c r="D4" s="220"/>
      <c r="E4" s="220"/>
      <c r="F4" s="220"/>
      <c r="G4" s="220"/>
      <c r="H4" s="220"/>
      <c r="I4" s="220"/>
      <c r="J4" s="220"/>
      <c r="K4" s="220"/>
      <c r="L4" s="220"/>
      <c r="M4" s="220"/>
      <c r="N4" s="220"/>
    </row>
    <row r="5" spans="1:14" ht="15">
      <c r="A5" s="221"/>
      <c r="B5" s="220"/>
      <c r="C5" s="220"/>
      <c r="D5" s="220"/>
      <c r="E5" s="220"/>
      <c r="F5" s="220"/>
      <c r="G5" s="220"/>
      <c r="H5" s="220"/>
      <c r="I5" s="220"/>
      <c r="J5" s="220"/>
      <c r="K5" s="220"/>
      <c r="L5" s="220"/>
      <c r="M5" s="220"/>
      <c r="N5" s="220"/>
    </row>
    <row r="6" spans="1:14" ht="12.75">
      <c r="A6" s="220"/>
      <c r="B6" s="220"/>
      <c r="C6" s="220"/>
      <c r="D6" s="220"/>
      <c r="E6" s="220"/>
      <c r="F6" s="220"/>
      <c r="G6" s="220"/>
      <c r="H6" s="220"/>
      <c r="I6" s="220"/>
      <c r="J6" s="220"/>
      <c r="K6" s="220"/>
      <c r="L6" s="220"/>
      <c r="M6" s="220"/>
      <c r="N6" s="220"/>
    </row>
    <row r="7" spans="1:14" ht="12.75">
      <c r="A7" s="220"/>
      <c r="B7" s="220"/>
      <c r="C7" s="220"/>
      <c r="D7" s="220"/>
      <c r="E7" s="220"/>
      <c r="F7" s="220"/>
      <c r="G7" s="220"/>
      <c r="H7" s="220"/>
      <c r="I7" s="220"/>
      <c r="J7" s="220"/>
      <c r="K7" s="220"/>
      <c r="L7" s="220"/>
      <c r="M7" s="220"/>
      <c r="N7" s="220"/>
    </row>
    <row r="8" spans="1:14" ht="12.75">
      <c r="A8" s="220"/>
      <c r="B8" s="220"/>
      <c r="C8" s="220"/>
      <c r="D8" s="220"/>
      <c r="E8" s="220"/>
      <c r="F8" s="220"/>
      <c r="G8" s="220"/>
      <c r="H8" s="220"/>
      <c r="I8" s="220"/>
      <c r="J8" s="220"/>
      <c r="K8" s="220"/>
      <c r="L8" s="220"/>
      <c r="M8" s="220"/>
      <c r="N8" s="220"/>
    </row>
    <row r="9" spans="1:14" ht="12.75">
      <c r="A9" s="220"/>
      <c r="B9" s="220"/>
      <c r="C9" s="220"/>
      <c r="D9" s="220"/>
      <c r="E9" s="220"/>
      <c r="F9" s="220"/>
      <c r="G9" s="220"/>
      <c r="H9" s="220"/>
      <c r="I9" s="220"/>
      <c r="J9" s="220"/>
      <c r="K9" s="220"/>
      <c r="L9" s="220"/>
      <c r="M9" s="220"/>
      <c r="N9" s="220"/>
    </row>
    <row r="10" spans="1:14" ht="12.75">
      <c r="A10" s="220"/>
      <c r="B10" s="220"/>
      <c r="C10" s="220"/>
      <c r="D10" s="220"/>
      <c r="E10" s="220"/>
      <c r="F10" s="220"/>
      <c r="G10" s="220"/>
      <c r="H10" s="220"/>
      <c r="I10" s="220"/>
      <c r="J10" s="220"/>
      <c r="K10" s="220"/>
      <c r="L10" s="220"/>
      <c r="M10" s="220"/>
      <c r="N10" s="220"/>
    </row>
    <row r="11" spans="1:14" ht="12.75">
      <c r="A11" s="220"/>
      <c r="B11" s="220"/>
      <c r="C11" s="220"/>
      <c r="D11" s="220"/>
      <c r="E11" s="220"/>
      <c r="F11" s="220"/>
      <c r="G11" s="220"/>
      <c r="H11" s="220"/>
      <c r="I11" s="220"/>
      <c r="J11" s="220"/>
      <c r="K11" s="220"/>
      <c r="L11" s="220"/>
      <c r="M11" s="220"/>
      <c r="N11" s="220"/>
    </row>
    <row r="12" spans="1:14" ht="12.75">
      <c r="A12" s="220"/>
      <c r="B12" s="220"/>
      <c r="C12" s="220"/>
      <c r="D12" s="220"/>
      <c r="E12" s="220"/>
      <c r="F12" s="220"/>
      <c r="G12" s="220"/>
      <c r="H12" s="220"/>
      <c r="I12" s="220"/>
      <c r="J12" s="220"/>
      <c r="K12" s="220"/>
      <c r="L12" s="220"/>
      <c r="M12" s="220"/>
      <c r="N12" s="220"/>
    </row>
    <row r="13" spans="1:14" ht="12.75">
      <c r="A13" s="220"/>
      <c r="B13" s="220"/>
      <c r="C13" s="220"/>
      <c r="D13" s="220"/>
      <c r="E13" s="220"/>
      <c r="F13" s="220"/>
      <c r="G13" s="220"/>
      <c r="H13" s="220"/>
      <c r="I13" s="220"/>
      <c r="J13" s="220"/>
      <c r="K13" s="220"/>
      <c r="L13" s="220"/>
      <c r="M13" s="220"/>
      <c r="N13" s="220"/>
    </row>
    <row r="14" spans="1:14" ht="12.75">
      <c r="A14" s="220"/>
      <c r="B14" s="220"/>
      <c r="C14" s="220"/>
      <c r="D14" s="220"/>
      <c r="E14" s="220"/>
      <c r="F14" s="220"/>
      <c r="G14" s="220"/>
      <c r="H14" s="220"/>
      <c r="I14" s="220"/>
      <c r="J14" s="220"/>
      <c r="K14" s="220"/>
      <c r="L14" s="220"/>
      <c r="M14" s="220"/>
      <c r="N14" s="220"/>
    </row>
    <row r="15" spans="1:14" ht="12.75">
      <c r="A15" s="220"/>
      <c r="B15" s="220"/>
      <c r="C15" s="220"/>
      <c r="D15" s="220"/>
      <c r="E15" s="220"/>
      <c r="F15" s="220"/>
      <c r="G15" s="220"/>
      <c r="H15" s="220"/>
      <c r="I15" s="220"/>
      <c r="J15" s="220"/>
      <c r="K15" s="220"/>
      <c r="L15" s="220"/>
      <c r="M15" s="220"/>
      <c r="N15" s="220"/>
    </row>
    <row r="16" spans="1:14" ht="12.75">
      <c r="A16" s="220"/>
      <c r="B16" s="220"/>
      <c r="C16" s="220"/>
      <c r="D16" s="220"/>
      <c r="E16" s="220"/>
      <c r="F16" s="220"/>
      <c r="G16" s="220"/>
      <c r="H16" s="220"/>
      <c r="I16" s="220"/>
      <c r="J16" s="220"/>
      <c r="K16" s="220"/>
      <c r="L16" s="220"/>
      <c r="M16" s="220"/>
      <c r="N16" s="220"/>
    </row>
    <row r="17" spans="1:14" ht="12.75">
      <c r="A17" s="220"/>
      <c r="B17" s="220"/>
      <c r="C17" s="220"/>
      <c r="D17" s="220"/>
      <c r="E17" s="220"/>
      <c r="F17" s="220"/>
      <c r="G17" s="220"/>
      <c r="H17" s="220"/>
      <c r="I17" s="220"/>
      <c r="J17" s="220"/>
      <c r="K17" s="220"/>
      <c r="L17" s="220"/>
      <c r="M17" s="220"/>
      <c r="N17" s="220"/>
    </row>
    <row r="18" spans="1:14" ht="12.75">
      <c r="A18" s="220"/>
      <c r="B18" s="220"/>
      <c r="C18" s="220"/>
      <c r="D18" s="220"/>
      <c r="E18" s="220"/>
      <c r="F18" s="220"/>
      <c r="G18" s="220"/>
      <c r="H18" s="220"/>
      <c r="I18" s="220"/>
      <c r="J18" s="220"/>
      <c r="K18" s="220"/>
      <c r="L18" s="220"/>
      <c r="M18" s="220"/>
      <c r="N18" s="220"/>
    </row>
    <row r="19" spans="1:14" ht="12.75">
      <c r="A19" s="220"/>
      <c r="B19" s="220"/>
      <c r="C19" s="220"/>
      <c r="D19" s="220"/>
      <c r="E19" s="220"/>
      <c r="F19" s="220"/>
      <c r="G19" s="220"/>
      <c r="H19" s="220"/>
      <c r="I19" s="220"/>
      <c r="J19" s="220"/>
      <c r="K19" s="220"/>
      <c r="L19" s="220"/>
      <c r="M19" s="220"/>
      <c r="N19" s="220"/>
    </row>
    <row r="20" spans="1:14" ht="12.75">
      <c r="A20" s="220"/>
      <c r="B20" s="220"/>
      <c r="C20" s="220"/>
      <c r="D20" s="220"/>
      <c r="E20" s="220"/>
      <c r="F20" s="220"/>
      <c r="G20" s="220"/>
      <c r="H20" s="220"/>
      <c r="I20" s="220"/>
      <c r="J20" s="220"/>
      <c r="K20" s="220"/>
      <c r="L20" s="220"/>
      <c r="M20" s="220"/>
      <c r="N20" s="220"/>
    </row>
    <row r="21" spans="1:14" ht="12.75">
      <c r="A21" s="220"/>
      <c r="B21" s="220"/>
      <c r="C21" s="220"/>
      <c r="D21" s="220"/>
      <c r="E21" s="220"/>
      <c r="F21" s="220"/>
      <c r="G21" s="220"/>
      <c r="H21" s="220"/>
      <c r="I21" s="220"/>
      <c r="J21" s="220"/>
      <c r="K21" s="220"/>
      <c r="L21" s="220"/>
      <c r="M21" s="220"/>
      <c r="N21" s="220"/>
    </row>
    <row r="22" spans="1:14" ht="12.75">
      <c r="A22" s="220"/>
      <c r="B22" s="220"/>
      <c r="C22" s="220"/>
      <c r="D22" s="220"/>
      <c r="E22" s="220"/>
      <c r="F22" s="220"/>
      <c r="G22" s="220"/>
      <c r="H22" s="220"/>
      <c r="I22" s="220"/>
      <c r="J22" s="220"/>
      <c r="K22" s="220"/>
      <c r="L22" s="220"/>
      <c r="M22" s="220"/>
      <c r="N22" s="220"/>
    </row>
    <row r="23" spans="1:14" ht="12.75">
      <c r="A23" s="220"/>
      <c r="B23" s="220"/>
      <c r="C23" s="220"/>
      <c r="D23" s="220"/>
      <c r="E23" s="220"/>
      <c r="F23" s="220"/>
      <c r="G23" s="220"/>
      <c r="H23" s="220"/>
      <c r="I23" s="220"/>
      <c r="J23" s="220"/>
      <c r="K23" s="220"/>
      <c r="L23" s="220"/>
      <c r="M23" s="220"/>
      <c r="N23" s="220"/>
    </row>
    <row r="24" spans="1:14" ht="12.75">
      <c r="A24" s="220"/>
      <c r="B24" s="220"/>
      <c r="C24" s="220"/>
      <c r="D24" s="220"/>
      <c r="E24" s="220"/>
      <c r="F24" s="220"/>
      <c r="G24" s="220"/>
      <c r="H24" s="220"/>
      <c r="I24" s="220"/>
      <c r="J24" s="220"/>
      <c r="K24" s="220"/>
      <c r="L24" s="220"/>
      <c r="M24" s="220"/>
      <c r="N24" s="220"/>
    </row>
    <row r="25" spans="1:14" ht="12.75">
      <c r="A25" s="220"/>
      <c r="B25" s="220"/>
      <c r="C25" s="220"/>
      <c r="D25" s="220"/>
      <c r="E25" s="220"/>
      <c r="F25" s="220"/>
      <c r="G25" s="220"/>
      <c r="H25" s="220"/>
      <c r="I25" s="220"/>
      <c r="J25" s="220"/>
      <c r="K25" s="220"/>
      <c r="L25" s="220"/>
      <c r="M25" s="220"/>
      <c r="N25" s="220"/>
    </row>
    <row r="26" spans="1:14" ht="12.75">
      <c r="A26" s="220"/>
      <c r="B26" s="220"/>
      <c r="C26" s="220"/>
      <c r="D26" s="220"/>
      <c r="E26" s="220"/>
      <c r="F26" s="220"/>
      <c r="G26" s="220"/>
      <c r="H26" s="220"/>
      <c r="I26" s="220"/>
      <c r="J26" s="220"/>
      <c r="K26" s="220"/>
      <c r="L26" s="220"/>
      <c r="M26" s="220"/>
      <c r="N26" s="220"/>
    </row>
    <row r="27" spans="1:14" ht="12.75">
      <c r="A27" s="220"/>
      <c r="B27" s="220"/>
      <c r="C27" s="220"/>
      <c r="D27" s="220"/>
      <c r="E27" s="220"/>
      <c r="F27" s="220"/>
      <c r="G27" s="220"/>
      <c r="H27" s="220"/>
      <c r="I27" s="220"/>
      <c r="J27" s="220"/>
      <c r="K27" s="220"/>
      <c r="L27" s="220"/>
      <c r="M27" s="220"/>
      <c r="N27" s="220"/>
    </row>
    <row r="28" spans="1:14" ht="12.75">
      <c r="A28" s="220"/>
      <c r="B28" s="220"/>
      <c r="C28" s="220"/>
      <c r="D28" s="220"/>
      <c r="E28" s="220"/>
      <c r="F28" s="220"/>
      <c r="G28" s="220"/>
      <c r="H28" s="220"/>
      <c r="I28" s="220"/>
      <c r="J28" s="220"/>
      <c r="K28" s="220"/>
      <c r="L28" s="220"/>
      <c r="M28" s="220"/>
      <c r="N28" s="220"/>
    </row>
    <row r="29" spans="1:14" ht="12.75">
      <c r="A29" s="220"/>
      <c r="B29" s="220"/>
      <c r="C29" s="220"/>
      <c r="D29" s="220"/>
      <c r="E29" s="220"/>
      <c r="F29" s="220"/>
      <c r="G29" s="220"/>
      <c r="H29" s="220"/>
      <c r="I29" s="220"/>
      <c r="J29" s="220"/>
      <c r="K29" s="220"/>
      <c r="L29" s="220"/>
      <c r="M29" s="220"/>
      <c r="N29" s="220"/>
    </row>
    <row r="30" spans="1:14" ht="12.75">
      <c r="A30" s="220"/>
      <c r="B30" s="220"/>
      <c r="C30" s="220"/>
      <c r="D30" s="220"/>
      <c r="E30" s="220"/>
      <c r="F30" s="220"/>
      <c r="G30" s="220"/>
      <c r="H30" s="220"/>
      <c r="I30" s="220"/>
      <c r="J30" s="220"/>
      <c r="K30" s="220"/>
      <c r="L30" s="220"/>
      <c r="M30" s="220"/>
      <c r="N30" s="220"/>
    </row>
    <row r="31" spans="1:14" ht="12.75">
      <c r="A31" s="220"/>
      <c r="B31" s="220"/>
      <c r="C31" s="220"/>
      <c r="D31" s="220"/>
      <c r="E31" s="220"/>
      <c r="F31" s="220"/>
      <c r="G31" s="220"/>
      <c r="H31" s="220"/>
      <c r="I31" s="220"/>
      <c r="J31" s="220"/>
      <c r="K31" s="220"/>
      <c r="L31" s="220"/>
      <c r="M31" s="220"/>
      <c r="N31" s="220"/>
    </row>
    <row r="32" spans="1:14" ht="12.75">
      <c r="A32" s="220"/>
      <c r="B32" s="220"/>
      <c r="C32" s="220"/>
      <c r="D32" s="220"/>
      <c r="E32" s="220"/>
      <c r="F32" s="220"/>
      <c r="G32" s="220"/>
      <c r="H32" s="220"/>
      <c r="I32" s="220"/>
      <c r="J32" s="220"/>
      <c r="K32" s="220"/>
      <c r="L32" s="220"/>
      <c r="M32" s="220"/>
      <c r="N32" s="220"/>
    </row>
    <row r="33" spans="1:14" ht="12.75">
      <c r="A33" s="220"/>
      <c r="B33" s="220"/>
      <c r="C33" s="220"/>
      <c r="D33" s="220"/>
      <c r="E33" s="220"/>
      <c r="F33" s="220"/>
      <c r="G33" s="220"/>
      <c r="H33" s="220"/>
      <c r="I33" s="220"/>
      <c r="J33" s="220"/>
      <c r="K33" s="220"/>
      <c r="L33" s="220"/>
      <c r="M33" s="220"/>
      <c r="N33" s="220"/>
    </row>
    <row r="34" spans="1:14" ht="12.75">
      <c r="A34" s="220"/>
      <c r="B34" s="220"/>
      <c r="C34" s="220"/>
      <c r="D34" s="220"/>
      <c r="E34" s="220"/>
      <c r="F34" s="220"/>
      <c r="G34" s="220"/>
      <c r="H34" s="220"/>
      <c r="I34" s="220"/>
      <c r="J34" s="220"/>
      <c r="K34" s="220"/>
      <c r="L34" s="220"/>
      <c r="M34" s="220"/>
      <c r="N34" s="220"/>
    </row>
    <row r="35" spans="1:14" ht="12.75">
      <c r="A35" s="220"/>
      <c r="B35" s="220"/>
      <c r="C35" s="220"/>
      <c r="D35" s="220"/>
      <c r="E35" s="220"/>
      <c r="F35" s="220"/>
      <c r="G35" s="220"/>
      <c r="H35" s="220"/>
      <c r="I35" s="220"/>
      <c r="J35" s="220"/>
      <c r="K35" s="220"/>
      <c r="L35" s="220"/>
      <c r="M35" s="220"/>
      <c r="N35" s="220"/>
    </row>
    <row r="36" spans="1:14" ht="12.75">
      <c r="A36" s="220"/>
      <c r="B36" s="220"/>
      <c r="C36" s="220"/>
      <c r="D36" s="220"/>
      <c r="E36" s="220"/>
      <c r="F36" s="220"/>
      <c r="G36" s="220"/>
      <c r="H36" s="220"/>
      <c r="I36" s="220"/>
      <c r="J36" s="220"/>
      <c r="K36" s="220"/>
      <c r="L36" s="220"/>
      <c r="M36" s="220"/>
      <c r="N36" s="220"/>
    </row>
    <row r="37" spans="1:14" ht="12.75">
      <c r="A37" s="220"/>
      <c r="B37" s="220"/>
      <c r="C37" s="220"/>
      <c r="D37" s="220"/>
      <c r="E37" s="220"/>
      <c r="F37" s="220"/>
      <c r="G37" s="220"/>
      <c r="H37" s="220"/>
      <c r="I37" s="220"/>
      <c r="J37" s="220"/>
      <c r="K37" s="220"/>
      <c r="L37" s="220"/>
      <c r="M37" s="220"/>
      <c r="N37" s="220"/>
    </row>
    <row r="38" spans="1:14" ht="12.75">
      <c r="A38" s="220"/>
      <c r="B38" s="220"/>
      <c r="C38" s="220"/>
      <c r="D38" s="220"/>
      <c r="E38" s="220"/>
      <c r="F38" s="220"/>
      <c r="G38" s="220"/>
      <c r="H38" s="220"/>
      <c r="I38" s="220"/>
      <c r="J38" s="220"/>
      <c r="K38" s="220"/>
      <c r="L38" s="220"/>
      <c r="M38" s="220"/>
      <c r="N38" s="220"/>
    </row>
    <row r="39" spans="1:14" ht="12.75">
      <c r="A39" s="220"/>
      <c r="B39" s="220"/>
      <c r="C39" s="220"/>
      <c r="D39" s="220"/>
      <c r="E39" s="220"/>
      <c r="F39" s="220"/>
      <c r="G39" s="220"/>
      <c r="H39" s="220"/>
      <c r="I39" s="220"/>
      <c r="J39" s="220"/>
      <c r="K39" s="220"/>
      <c r="L39" s="220"/>
      <c r="M39" s="220"/>
      <c r="N39" s="220"/>
    </row>
    <row r="40" spans="1:14" ht="12.75">
      <c r="A40" s="220"/>
      <c r="B40" s="220"/>
      <c r="C40" s="220"/>
      <c r="D40" s="220"/>
      <c r="E40" s="220"/>
      <c r="F40" s="220"/>
      <c r="G40" s="220"/>
      <c r="H40" s="220"/>
      <c r="I40" s="220"/>
      <c r="J40" s="220"/>
      <c r="K40" s="220"/>
      <c r="L40" s="220"/>
      <c r="M40" s="220"/>
      <c r="N40" s="220"/>
    </row>
  </sheetData>
  <sheetProtection password="CBAF" sheet="1" objects="1" scenarios="1" selectLockedCells="1" selectUnlockedCells="1"/>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codeName="Sheet4"/>
  <dimension ref="A2:H63"/>
  <sheetViews>
    <sheetView workbookViewId="0" topLeftCell="A1">
      <selection activeCell="C4" sqref="C4"/>
    </sheetView>
  </sheetViews>
  <sheetFormatPr defaultColWidth="9.140625" defaultRowHeight="12.75"/>
  <cols>
    <col min="1" max="1" width="2.421875" style="0" customWidth="1"/>
    <col min="2" max="2" width="35.421875" style="0" customWidth="1"/>
    <col min="3" max="8" width="16.7109375" style="0" customWidth="1"/>
    <col min="9" max="9" width="2.421875" style="0" customWidth="1"/>
  </cols>
  <sheetData>
    <row r="2" spans="2:8" ht="23.25">
      <c r="B2" s="24" t="s">
        <v>200</v>
      </c>
      <c r="C2" s="25"/>
      <c r="D2" s="25"/>
      <c r="E2" s="25"/>
      <c r="F2" s="25"/>
      <c r="G2" s="25"/>
      <c r="H2" s="25"/>
    </row>
    <row r="3" ht="6" customHeight="1"/>
    <row r="4" spans="2:3" ht="12.75">
      <c r="B4" s="23" t="s">
        <v>203</v>
      </c>
      <c r="C4" s="269" t="s">
        <v>205</v>
      </c>
    </row>
    <row r="5" spans="2:3" ht="12.75">
      <c r="B5" s="23" t="s">
        <v>207</v>
      </c>
      <c r="C5" s="269" t="s">
        <v>206</v>
      </c>
    </row>
    <row r="6" spans="2:3" ht="12.75">
      <c r="B6" s="23" t="s">
        <v>204</v>
      </c>
      <c r="C6" s="26">
        <f ca="1">NOW()</f>
        <v>38959.91552256944</v>
      </c>
    </row>
    <row r="7" ht="6" customHeight="1"/>
    <row r="8" spans="2:8" ht="36">
      <c r="B8" s="222" t="s">
        <v>31</v>
      </c>
      <c r="C8" s="232" t="s">
        <v>201</v>
      </c>
      <c r="D8" s="232" t="s">
        <v>157</v>
      </c>
      <c r="E8" s="232" t="s">
        <v>45</v>
      </c>
      <c r="F8" s="232" t="s">
        <v>202</v>
      </c>
      <c r="G8" s="270" t="s">
        <v>243</v>
      </c>
      <c r="H8" s="270" t="s">
        <v>46</v>
      </c>
    </row>
    <row r="9" ht="6" customHeight="1">
      <c r="B9" s="22"/>
    </row>
    <row r="10" spans="2:8" ht="12.75">
      <c r="B10" s="252" t="s">
        <v>32</v>
      </c>
      <c r="C10" s="271">
        <v>0</v>
      </c>
      <c r="D10" s="271">
        <v>0</v>
      </c>
      <c r="E10" s="216">
        <f>+'Crop Budgets'!O14</f>
        <v>163.72</v>
      </c>
      <c r="F10" s="271">
        <v>0</v>
      </c>
      <c r="G10" s="271">
        <v>0</v>
      </c>
      <c r="H10" s="271">
        <v>0</v>
      </c>
    </row>
    <row r="11" spans="2:8" ht="12.75">
      <c r="B11" s="252" t="s">
        <v>221</v>
      </c>
      <c r="C11" s="272">
        <v>0</v>
      </c>
      <c r="D11" s="272">
        <v>40</v>
      </c>
      <c r="E11" s="272">
        <v>0</v>
      </c>
      <c r="F11" s="272">
        <v>0</v>
      </c>
      <c r="G11" s="272">
        <v>0</v>
      </c>
      <c r="H11" s="272">
        <v>0</v>
      </c>
    </row>
    <row r="12" spans="2:8" ht="12.75">
      <c r="B12" s="252" t="s">
        <v>33</v>
      </c>
      <c r="C12" s="272">
        <v>0</v>
      </c>
      <c r="D12" s="272">
        <v>0</v>
      </c>
      <c r="E12" s="272">
        <v>0</v>
      </c>
      <c r="F12" s="272">
        <v>15</v>
      </c>
      <c r="G12" s="272">
        <v>0</v>
      </c>
      <c r="H12" s="272">
        <v>0</v>
      </c>
    </row>
    <row r="13" spans="2:8" ht="12.75">
      <c r="B13" s="252" t="s">
        <v>44</v>
      </c>
      <c r="C13" s="272">
        <v>0</v>
      </c>
      <c r="D13" s="272">
        <v>0</v>
      </c>
      <c r="E13" s="272">
        <v>0</v>
      </c>
      <c r="F13" s="272">
        <v>0</v>
      </c>
      <c r="G13" s="272">
        <v>40</v>
      </c>
      <c r="H13" s="272">
        <v>0</v>
      </c>
    </row>
    <row r="14" spans="2:8" ht="12.75">
      <c r="B14" s="252" t="s">
        <v>199</v>
      </c>
      <c r="C14" s="272">
        <v>42</v>
      </c>
      <c r="D14" s="272">
        <v>0</v>
      </c>
      <c r="E14" s="272">
        <v>0</v>
      </c>
      <c r="F14" s="272">
        <v>0</v>
      </c>
      <c r="G14" s="272">
        <v>0</v>
      </c>
      <c r="H14" s="272">
        <v>0</v>
      </c>
    </row>
    <row r="15" spans="2:8" ht="12.75">
      <c r="B15" s="252" t="s">
        <v>34</v>
      </c>
      <c r="C15" s="272">
        <v>0</v>
      </c>
      <c r="D15" s="272">
        <v>0</v>
      </c>
      <c r="E15" s="272">
        <v>5</v>
      </c>
      <c r="F15" s="272">
        <v>0</v>
      </c>
      <c r="G15" s="272">
        <v>0</v>
      </c>
      <c r="H15" s="272">
        <v>0</v>
      </c>
    </row>
    <row r="16" spans="2:8" ht="12.75">
      <c r="B16" s="253" t="s">
        <v>35</v>
      </c>
      <c r="C16" s="273">
        <v>0</v>
      </c>
      <c r="D16" s="273">
        <v>0</v>
      </c>
      <c r="E16" s="273">
        <v>0</v>
      </c>
      <c r="F16" s="273">
        <v>0</v>
      </c>
      <c r="G16" s="273">
        <v>0</v>
      </c>
      <c r="H16" s="273">
        <v>0</v>
      </c>
    </row>
    <row r="17" ht="6" customHeight="1"/>
    <row r="18" spans="2:8" ht="12.75">
      <c r="B18" s="217" t="s">
        <v>208</v>
      </c>
      <c r="C18" s="223">
        <f aca="true" t="shared" si="0" ref="C18:H18">SUM(C10:C16)</f>
        <v>42</v>
      </c>
      <c r="D18" s="223">
        <f t="shared" si="0"/>
        <v>40</v>
      </c>
      <c r="E18" s="223">
        <f t="shared" si="0"/>
        <v>168.72</v>
      </c>
      <c r="F18" s="223">
        <f t="shared" si="0"/>
        <v>15</v>
      </c>
      <c r="G18" s="223">
        <f t="shared" si="0"/>
        <v>40</v>
      </c>
      <c r="H18" s="223">
        <f t="shared" si="0"/>
        <v>0</v>
      </c>
    </row>
    <row r="21" spans="2:8" ht="15">
      <c r="B21" s="222" t="s">
        <v>36</v>
      </c>
      <c r="C21" s="214"/>
      <c r="D21" s="214"/>
      <c r="E21" s="214"/>
      <c r="F21" s="214"/>
      <c r="G21" s="214"/>
      <c r="H21" s="214"/>
    </row>
    <row r="22" ht="6" customHeight="1">
      <c r="B22" s="22"/>
    </row>
    <row r="23" spans="2:8" ht="12.75">
      <c r="B23" t="s">
        <v>37</v>
      </c>
      <c r="C23" s="274">
        <v>0</v>
      </c>
      <c r="D23" s="274">
        <v>0</v>
      </c>
      <c r="E23" s="65">
        <f>+'Crop Budgets'!O31</f>
        <v>146.4548850608</v>
      </c>
      <c r="F23" s="274">
        <v>0</v>
      </c>
      <c r="G23" s="274">
        <v>0</v>
      </c>
      <c r="H23" s="274">
        <v>0</v>
      </c>
    </row>
    <row r="24" spans="2:8" ht="12.75">
      <c r="B24" t="s">
        <v>222</v>
      </c>
      <c r="C24" s="275">
        <v>0</v>
      </c>
      <c r="D24" s="275">
        <v>28.5</v>
      </c>
      <c r="E24" s="275">
        <v>0</v>
      </c>
      <c r="F24" s="275">
        <v>0</v>
      </c>
      <c r="G24" s="275">
        <v>0</v>
      </c>
      <c r="H24" s="275">
        <v>0</v>
      </c>
    </row>
    <row r="25" spans="2:8" ht="12.75">
      <c r="B25" t="s">
        <v>38</v>
      </c>
      <c r="C25" s="275">
        <v>2.5</v>
      </c>
      <c r="D25" s="275">
        <v>0</v>
      </c>
      <c r="E25" s="275">
        <v>0</v>
      </c>
      <c r="F25" s="275">
        <v>0</v>
      </c>
      <c r="G25" s="275">
        <v>0</v>
      </c>
      <c r="H25" s="275">
        <v>0</v>
      </c>
    </row>
    <row r="26" spans="2:8" ht="12.75">
      <c r="B26" t="s">
        <v>194</v>
      </c>
      <c r="C26" s="275">
        <v>0</v>
      </c>
      <c r="D26" s="275">
        <v>0</v>
      </c>
      <c r="E26" s="275">
        <v>0</v>
      </c>
      <c r="F26" s="275">
        <v>0</v>
      </c>
      <c r="G26" s="275">
        <v>0</v>
      </c>
      <c r="H26" s="275">
        <v>0</v>
      </c>
    </row>
    <row r="27" spans="2:8" ht="12.75">
      <c r="B27" t="s">
        <v>195</v>
      </c>
      <c r="C27" s="275">
        <v>0</v>
      </c>
      <c r="D27" s="275">
        <v>0</v>
      </c>
      <c r="E27" s="275">
        <v>0</v>
      </c>
      <c r="F27" s="275">
        <v>0</v>
      </c>
      <c r="G27" s="275">
        <v>0</v>
      </c>
      <c r="H27" s="275">
        <v>0</v>
      </c>
    </row>
    <row r="28" spans="2:8" ht="12.75">
      <c r="B28" t="s">
        <v>41</v>
      </c>
      <c r="C28" s="275">
        <v>4</v>
      </c>
      <c r="D28" s="275">
        <v>4</v>
      </c>
      <c r="E28" s="275">
        <v>0</v>
      </c>
      <c r="F28" s="275">
        <v>4</v>
      </c>
      <c r="G28" s="275">
        <v>4</v>
      </c>
      <c r="H28" s="275">
        <v>0</v>
      </c>
    </row>
    <row r="29" spans="2:8" ht="12.75">
      <c r="B29" t="s">
        <v>42</v>
      </c>
      <c r="C29" s="275">
        <v>2</v>
      </c>
      <c r="D29" s="275">
        <v>3.5</v>
      </c>
      <c r="E29" s="275">
        <v>0</v>
      </c>
      <c r="F29" s="275">
        <v>2</v>
      </c>
      <c r="G29" s="275">
        <v>3.5</v>
      </c>
      <c r="H29" s="275">
        <v>0</v>
      </c>
    </row>
    <row r="30" spans="1:8" s="144" customFormat="1" ht="12.75">
      <c r="A30" s="219"/>
      <c r="B30" s="229" t="s">
        <v>196</v>
      </c>
      <c r="C30" s="218"/>
      <c r="D30" s="218"/>
      <c r="E30" s="218"/>
      <c r="F30" s="218"/>
      <c r="G30" s="218"/>
      <c r="H30" s="218"/>
    </row>
    <row r="31" spans="1:8" s="144" customFormat="1" ht="12.75">
      <c r="A31"/>
      <c r="B31" s="213" t="s">
        <v>197</v>
      </c>
      <c r="C31" s="275">
        <v>25</v>
      </c>
      <c r="D31" s="275">
        <v>0</v>
      </c>
      <c r="E31" s="275">
        <v>0</v>
      </c>
      <c r="F31" s="275">
        <v>0</v>
      </c>
      <c r="G31" s="275">
        <v>0</v>
      </c>
      <c r="H31" s="275">
        <v>0</v>
      </c>
    </row>
    <row r="32" spans="1:8" s="144" customFormat="1" ht="12.75">
      <c r="A32"/>
      <c r="B32" s="213" t="s">
        <v>198</v>
      </c>
      <c r="C32" s="275">
        <v>0</v>
      </c>
      <c r="D32" s="275">
        <v>0</v>
      </c>
      <c r="E32" s="275">
        <v>12.16</v>
      </c>
      <c r="F32" s="275">
        <v>0</v>
      </c>
      <c r="G32" s="275">
        <v>12.16</v>
      </c>
      <c r="H32" s="275">
        <v>0</v>
      </c>
    </row>
    <row r="33" spans="1:8" s="144" customFormat="1" ht="12.75">
      <c r="A33"/>
      <c r="B33" s="213" t="s">
        <v>39</v>
      </c>
      <c r="C33" s="275">
        <v>0</v>
      </c>
      <c r="D33" s="275">
        <v>0</v>
      </c>
      <c r="E33" s="275">
        <v>0</v>
      </c>
      <c r="F33" s="275">
        <v>8.5</v>
      </c>
      <c r="G33" s="275">
        <v>0</v>
      </c>
      <c r="H33" s="275">
        <v>0</v>
      </c>
    </row>
    <row r="34" spans="1:8" s="144" customFormat="1" ht="12.75">
      <c r="A34"/>
      <c r="B34" s="213" t="s">
        <v>40</v>
      </c>
      <c r="C34" s="275">
        <v>0</v>
      </c>
      <c r="D34" s="275">
        <v>0</v>
      </c>
      <c r="E34" s="275">
        <v>0</v>
      </c>
      <c r="F34" s="275">
        <v>0</v>
      </c>
      <c r="G34" s="275">
        <v>0</v>
      </c>
      <c r="H34" s="275">
        <v>0</v>
      </c>
    </row>
    <row r="35" spans="1:8" s="144" customFormat="1" ht="12.75">
      <c r="A35"/>
      <c r="B35" s="254" t="s">
        <v>234</v>
      </c>
      <c r="C35" s="276">
        <v>0</v>
      </c>
      <c r="D35" s="276">
        <v>0</v>
      </c>
      <c r="E35" s="276">
        <v>0</v>
      </c>
      <c r="F35" s="276">
        <v>0</v>
      </c>
      <c r="G35" s="276">
        <v>0</v>
      </c>
      <c r="H35" s="276">
        <v>0</v>
      </c>
    </row>
    <row r="36" spans="1:8" s="144" customFormat="1" ht="6" customHeight="1">
      <c r="A36"/>
      <c r="B36"/>
      <c r="C36"/>
      <c r="D36"/>
      <c r="E36"/>
      <c r="F36"/>
      <c r="G36"/>
      <c r="H36"/>
    </row>
    <row r="37" spans="1:8" s="144" customFormat="1" ht="12.75">
      <c r="A37"/>
      <c r="B37" s="217" t="s">
        <v>209</v>
      </c>
      <c r="C37" s="223">
        <f aca="true" t="shared" si="1" ref="C37:H37">SUM(C23:C35)</f>
        <v>33.5</v>
      </c>
      <c r="D37" s="223">
        <f t="shared" si="1"/>
        <v>36</v>
      </c>
      <c r="E37" s="223">
        <f t="shared" si="1"/>
        <v>158.6148850608</v>
      </c>
      <c r="F37" s="223">
        <f t="shared" si="1"/>
        <v>14.5</v>
      </c>
      <c r="G37" s="223">
        <f t="shared" si="1"/>
        <v>19.66</v>
      </c>
      <c r="H37" s="223">
        <f t="shared" si="1"/>
        <v>0</v>
      </c>
    </row>
    <row r="38" spans="1:8" s="144" customFormat="1" ht="6" customHeight="1">
      <c r="A38"/>
      <c r="B38"/>
      <c r="C38" s="65"/>
      <c r="D38" s="65"/>
      <c r="E38" s="65"/>
      <c r="F38"/>
      <c r="G38"/>
      <c r="H38"/>
    </row>
    <row r="39" spans="1:8" s="144" customFormat="1" ht="12.75">
      <c r="A39"/>
      <c r="B39" s="230" t="s">
        <v>211</v>
      </c>
      <c r="C39" s="231">
        <f aca="true" t="shared" si="2" ref="C39:H39">C18-C37</f>
        <v>8.5</v>
      </c>
      <c r="D39" s="231">
        <f t="shared" si="2"/>
        <v>4</v>
      </c>
      <c r="E39" s="231">
        <f t="shared" si="2"/>
        <v>10.105114939200007</v>
      </c>
      <c r="F39" s="231">
        <f t="shared" si="2"/>
        <v>0.5</v>
      </c>
      <c r="G39" s="231">
        <f t="shared" si="2"/>
        <v>20.34</v>
      </c>
      <c r="H39" s="231">
        <f t="shared" si="2"/>
        <v>0</v>
      </c>
    </row>
    <row r="40" spans="1:8" s="144" customFormat="1" ht="6" customHeight="1">
      <c r="A40"/>
      <c r="B40"/>
      <c r="C40"/>
      <c r="D40"/>
      <c r="E40"/>
      <c r="F40"/>
      <c r="G40"/>
      <c r="H40"/>
    </row>
    <row r="41" spans="1:8" s="144" customFormat="1" ht="12.75">
      <c r="A41"/>
      <c r="B41" t="s">
        <v>210</v>
      </c>
      <c r="C41" s="277">
        <v>190</v>
      </c>
      <c r="D41" s="277">
        <v>190</v>
      </c>
      <c r="E41" s="277">
        <v>190</v>
      </c>
      <c r="F41" s="277">
        <v>190</v>
      </c>
      <c r="G41" s="277">
        <v>190</v>
      </c>
      <c r="H41" s="277">
        <v>0</v>
      </c>
    </row>
    <row r="42" spans="1:8" s="144" customFormat="1" ht="6" customHeight="1" thickBot="1">
      <c r="A42"/>
      <c r="B42" s="255"/>
      <c r="C42" s="255"/>
      <c r="D42" s="255"/>
      <c r="E42" s="255"/>
      <c r="F42" s="255"/>
      <c r="G42" s="255"/>
      <c r="H42" s="255"/>
    </row>
    <row r="43" spans="1:8" s="144" customFormat="1" ht="13.5" thickTop="1">
      <c r="A43"/>
      <c r="B43" s="217" t="s">
        <v>220</v>
      </c>
      <c r="C43" s="223">
        <f aca="true" t="shared" si="3" ref="C43:H43">C39*C41</f>
        <v>1615</v>
      </c>
      <c r="D43" s="223">
        <f t="shared" si="3"/>
        <v>760</v>
      </c>
      <c r="E43" s="223">
        <f t="shared" si="3"/>
        <v>1919.9718384480013</v>
      </c>
      <c r="F43" s="223">
        <f t="shared" si="3"/>
        <v>95</v>
      </c>
      <c r="G43" s="223">
        <f t="shared" si="3"/>
        <v>3864.6</v>
      </c>
      <c r="H43" s="223">
        <f t="shared" si="3"/>
        <v>0</v>
      </c>
    </row>
    <row r="44" spans="1:8" s="144" customFormat="1" ht="6" customHeight="1">
      <c r="A44"/>
      <c r="B44"/>
      <c r="C44"/>
      <c r="D44"/>
      <c r="E44"/>
      <c r="F44"/>
      <c r="G44"/>
      <c r="H44"/>
    </row>
    <row r="45" spans="1:8" s="144" customFormat="1" ht="12.75">
      <c r="A45"/>
      <c r="B45" t="s">
        <v>47</v>
      </c>
      <c r="C45"/>
      <c r="D45"/>
      <c r="E45"/>
      <c r="F45"/>
      <c r="G45"/>
      <c r="H45"/>
    </row>
    <row r="46" spans="1:8" s="144" customFormat="1" ht="12.75">
      <c r="A46"/>
      <c r="B46" t="s">
        <v>48</v>
      </c>
      <c r="C46" s="274">
        <v>950</v>
      </c>
      <c r="D46" s="274">
        <v>570</v>
      </c>
      <c r="E46" s="274">
        <v>0</v>
      </c>
      <c r="F46" s="274">
        <v>475</v>
      </c>
      <c r="G46" s="274">
        <v>-380</v>
      </c>
      <c r="H46" s="274">
        <v>0</v>
      </c>
    </row>
    <row r="47" spans="1:8" s="144" customFormat="1" ht="6" customHeight="1">
      <c r="A47"/>
      <c r="B47"/>
      <c r="C47"/>
      <c r="D47"/>
      <c r="E47"/>
      <c r="F47" s="65"/>
      <c r="G47" s="65"/>
      <c r="H47" s="65"/>
    </row>
    <row r="48" spans="1:8" s="144" customFormat="1" ht="12.75">
      <c r="A48"/>
      <c r="B48" s="139" t="s">
        <v>212</v>
      </c>
      <c r="C48" s="145">
        <f aca="true" t="shared" si="4" ref="C48:H48">C43+C46</f>
        <v>2565</v>
      </c>
      <c r="D48" s="145">
        <f t="shared" si="4"/>
        <v>1330</v>
      </c>
      <c r="E48" s="145">
        <f t="shared" si="4"/>
        <v>1919.9718384480013</v>
      </c>
      <c r="F48" s="145">
        <f t="shared" si="4"/>
        <v>570</v>
      </c>
      <c r="G48" s="145">
        <f t="shared" si="4"/>
        <v>3484.6</v>
      </c>
      <c r="H48" s="145">
        <f t="shared" si="4"/>
        <v>0</v>
      </c>
    </row>
    <row r="49" spans="1:8" s="144" customFormat="1" ht="12.75">
      <c r="A49"/>
      <c r="B49"/>
      <c r="C49"/>
      <c r="D49"/>
      <c r="E49"/>
      <c r="F49"/>
      <c r="G49"/>
      <c r="H49"/>
    </row>
    <row r="50" spans="2:8" s="144" customFormat="1" ht="6" customHeight="1">
      <c r="B50" s="214"/>
      <c r="C50" s="214"/>
      <c r="D50" s="214"/>
      <c r="E50" s="214"/>
      <c r="F50" s="214"/>
      <c r="G50" s="214"/>
      <c r="H50" s="214"/>
    </row>
    <row r="51" spans="1:8" s="144" customFormat="1" ht="12.75">
      <c r="A51"/>
      <c r="B51" s="138" t="s">
        <v>213</v>
      </c>
      <c r="C51"/>
      <c r="D51"/>
      <c r="E51"/>
      <c r="F51"/>
      <c r="G51"/>
      <c r="H51"/>
    </row>
    <row r="52" spans="2:8" s="144" customFormat="1" ht="6" customHeight="1">
      <c r="B52" s="215"/>
      <c r="C52" s="214"/>
      <c r="D52" s="214"/>
      <c r="E52" s="214"/>
      <c r="F52" s="214"/>
      <c r="G52" s="214"/>
      <c r="H52" s="214"/>
    </row>
    <row r="53" spans="1:8" s="144" customFormat="1" ht="12.75">
      <c r="A53" s="224"/>
      <c r="B53" s="225" t="s">
        <v>214</v>
      </c>
      <c r="C53" s="226">
        <f aca="true" t="shared" si="5" ref="C53:H53">C48+((C10*0.1)*C41)</f>
        <v>2565</v>
      </c>
      <c r="D53" s="226">
        <f t="shared" si="5"/>
        <v>1330</v>
      </c>
      <c r="E53" s="226">
        <f t="shared" si="5"/>
        <v>5030.651838448001</v>
      </c>
      <c r="F53" s="226">
        <f t="shared" si="5"/>
        <v>570</v>
      </c>
      <c r="G53" s="226">
        <f t="shared" si="5"/>
        <v>3484.6</v>
      </c>
      <c r="H53" s="226">
        <f t="shared" si="5"/>
        <v>0</v>
      </c>
    </row>
    <row r="54" spans="1:8" s="235" customFormat="1" ht="12.75" customHeight="1">
      <c r="A54" s="224"/>
      <c r="B54" s="225" t="s">
        <v>215</v>
      </c>
      <c r="C54" s="226">
        <f aca="true" t="shared" si="6" ref="C54:H54">C48-((C10*0.1)*C41)</f>
        <v>2565</v>
      </c>
      <c r="D54" s="226">
        <f t="shared" si="6"/>
        <v>1330</v>
      </c>
      <c r="E54" s="226">
        <f t="shared" si="6"/>
        <v>-1190.7081615519985</v>
      </c>
      <c r="F54" s="226">
        <f t="shared" si="6"/>
        <v>570</v>
      </c>
      <c r="G54" s="226">
        <f t="shared" si="6"/>
        <v>3484.6</v>
      </c>
      <c r="H54" s="226">
        <f t="shared" si="6"/>
        <v>0</v>
      </c>
    </row>
    <row r="55" spans="1:8" ht="12.75">
      <c r="A55" s="224"/>
      <c r="B55" s="233" t="s">
        <v>218</v>
      </c>
      <c r="C55" s="234">
        <f aca="true" t="shared" si="7" ref="C55:H55">C48-((C23*0.1)*C41)</f>
        <v>2565</v>
      </c>
      <c r="D55" s="234">
        <f t="shared" si="7"/>
        <v>1330</v>
      </c>
      <c r="E55" s="234">
        <f t="shared" si="7"/>
        <v>-862.6709777071985</v>
      </c>
      <c r="F55" s="234">
        <f t="shared" si="7"/>
        <v>570</v>
      </c>
      <c r="G55" s="234">
        <f t="shared" si="7"/>
        <v>3484.6</v>
      </c>
      <c r="H55" s="234">
        <f t="shared" si="7"/>
        <v>0</v>
      </c>
    </row>
    <row r="56" spans="1:8" ht="12.75">
      <c r="A56" s="224"/>
      <c r="B56" s="233" t="s">
        <v>219</v>
      </c>
      <c r="C56" s="234">
        <f aca="true" t="shared" si="8" ref="C56:H56">C48+((C23*0.1)*C41)</f>
        <v>2565</v>
      </c>
      <c r="D56" s="234">
        <f t="shared" si="8"/>
        <v>1330</v>
      </c>
      <c r="E56" s="234">
        <f t="shared" si="8"/>
        <v>4702.614654603201</v>
      </c>
      <c r="F56" s="234">
        <f t="shared" si="8"/>
        <v>570</v>
      </c>
      <c r="G56" s="234">
        <f t="shared" si="8"/>
        <v>3484.6</v>
      </c>
      <c r="H56" s="234">
        <f t="shared" si="8"/>
        <v>0</v>
      </c>
    </row>
    <row r="57" spans="1:8" ht="12.75">
      <c r="A57" s="224"/>
      <c r="B57" s="225" t="s">
        <v>223</v>
      </c>
      <c r="C57" s="226">
        <f aca="true" t="shared" si="9" ref="C57:H57">C48+((C11*0.1)*C41)</f>
        <v>2565</v>
      </c>
      <c r="D57" s="226">
        <f t="shared" si="9"/>
        <v>2090</v>
      </c>
      <c r="E57" s="226">
        <f t="shared" si="9"/>
        <v>1919.9718384480013</v>
      </c>
      <c r="F57" s="226">
        <f t="shared" si="9"/>
        <v>570</v>
      </c>
      <c r="G57" s="226">
        <f t="shared" si="9"/>
        <v>3484.6</v>
      </c>
      <c r="H57" s="226">
        <f t="shared" si="9"/>
        <v>0</v>
      </c>
    </row>
    <row r="58" spans="1:8" ht="12.75">
      <c r="A58" s="224"/>
      <c r="B58" s="225" t="s">
        <v>224</v>
      </c>
      <c r="C58" s="226">
        <f aca="true" t="shared" si="10" ref="C58:H58">C48-((C11*0.1)*C41)</f>
        <v>2565</v>
      </c>
      <c r="D58" s="226">
        <f t="shared" si="10"/>
        <v>570</v>
      </c>
      <c r="E58" s="226">
        <f t="shared" si="10"/>
        <v>1919.9718384480013</v>
      </c>
      <c r="F58" s="226">
        <f t="shared" si="10"/>
        <v>570</v>
      </c>
      <c r="G58" s="226">
        <f t="shared" si="10"/>
        <v>3484.6</v>
      </c>
      <c r="H58" s="226">
        <f t="shared" si="10"/>
        <v>0</v>
      </c>
    </row>
    <row r="59" spans="1:8" ht="12.75">
      <c r="A59" s="224"/>
      <c r="B59" s="227" t="s">
        <v>225</v>
      </c>
      <c r="C59" s="228">
        <f aca="true" t="shared" si="11" ref="C59:H59">C48-((C24*0.1)*C41)</f>
        <v>2565</v>
      </c>
      <c r="D59" s="228">
        <f t="shared" si="11"/>
        <v>788.5</v>
      </c>
      <c r="E59" s="228">
        <f t="shared" si="11"/>
        <v>1919.9718384480013</v>
      </c>
      <c r="F59" s="228">
        <f t="shared" si="11"/>
        <v>570</v>
      </c>
      <c r="G59" s="228">
        <f t="shared" si="11"/>
        <v>3484.6</v>
      </c>
      <c r="H59" s="228">
        <f t="shared" si="11"/>
        <v>0</v>
      </c>
    </row>
    <row r="60" spans="1:8" ht="12.75">
      <c r="A60" s="224"/>
      <c r="B60" s="227" t="s">
        <v>226</v>
      </c>
      <c r="C60" s="228">
        <f aca="true" t="shared" si="12" ref="C60:H60">C48+((C24*0.1)*C41)</f>
        <v>2565</v>
      </c>
      <c r="D60" s="228">
        <f t="shared" si="12"/>
        <v>1871.5</v>
      </c>
      <c r="E60" s="228">
        <f t="shared" si="12"/>
        <v>1919.9718384480013</v>
      </c>
      <c r="F60" s="228">
        <f t="shared" si="12"/>
        <v>570</v>
      </c>
      <c r="G60" s="228">
        <f t="shared" si="12"/>
        <v>3484.6</v>
      </c>
      <c r="H60" s="228">
        <f t="shared" si="12"/>
        <v>0</v>
      </c>
    </row>
    <row r="61" spans="1:8" ht="12.75">
      <c r="A61" s="224"/>
      <c r="B61" s="225" t="s">
        <v>216</v>
      </c>
      <c r="C61" s="226">
        <f aca="true" t="shared" si="13" ref="C61:H61">C48+(C46*0.1)</f>
        <v>2660</v>
      </c>
      <c r="D61" s="226">
        <f t="shared" si="13"/>
        <v>1387</v>
      </c>
      <c r="E61" s="226">
        <f t="shared" si="13"/>
        <v>1919.9718384480013</v>
      </c>
      <c r="F61" s="226">
        <f t="shared" si="13"/>
        <v>617.5</v>
      </c>
      <c r="G61" s="226">
        <f t="shared" si="13"/>
        <v>3446.6</v>
      </c>
      <c r="H61" s="226">
        <f t="shared" si="13"/>
        <v>0</v>
      </c>
    </row>
    <row r="62" spans="1:8" s="144" customFormat="1" ht="12.75">
      <c r="A62" s="224"/>
      <c r="B62" s="225" t="s">
        <v>217</v>
      </c>
      <c r="C62" s="226">
        <f aca="true" t="shared" si="14" ref="C62:H62">C48-(C46*0.1)</f>
        <v>2470</v>
      </c>
      <c r="D62" s="226">
        <f t="shared" si="14"/>
        <v>1273</v>
      </c>
      <c r="E62" s="226">
        <f t="shared" si="14"/>
        <v>1919.9718384480013</v>
      </c>
      <c r="F62" s="226">
        <f t="shared" si="14"/>
        <v>522.5</v>
      </c>
      <c r="G62" s="226">
        <f t="shared" si="14"/>
        <v>3522.6</v>
      </c>
      <c r="H62" s="226">
        <f t="shared" si="14"/>
        <v>0</v>
      </c>
    </row>
    <row r="63" spans="2:8" s="144" customFormat="1" ht="6" customHeight="1">
      <c r="B63" s="215"/>
      <c r="C63" s="214"/>
      <c r="D63" s="214"/>
      <c r="E63" s="214"/>
      <c r="F63" s="214"/>
      <c r="G63" s="214"/>
      <c r="H63" s="214"/>
    </row>
  </sheetData>
  <sheetProtection password="CBAF" sheet="1" objects="1" scenarios="1"/>
  <printOptions/>
  <pageMargins left="0.12" right="0.2" top="0.38" bottom="0.48"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sheetPr codeName="Sheet2" transitionEvaluation="1">
    <pageSetUpPr fitToPage="1"/>
  </sheetPr>
  <dimension ref="B2:O207"/>
  <sheetViews>
    <sheetView defaultGridColor="0" colorId="22" workbookViewId="0" topLeftCell="A1">
      <selection activeCell="D4" sqref="D4"/>
    </sheetView>
  </sheetViews>
  <sheetFormatPr defaultColWidth="8.7109375" defaultRowHeight="12.75"/>
  <cols>
    <col min="1" max="1" width="4.7109375" style="27" customWidth="1"/>
    <col min="2" max="2" width="2.7109375" style="27" customWidth="1"/>
    <col min="3" max="3" width="38.7109375" style="41" customWidth="1"/>
    <col min="4" max="9" width="12.28125" style="27" customWidth="1"/>
    <col min="10" max="10" width="10.7109375" style="27" customWidth="1"/>
    <col min="11" max="11" width="4.7109375" style="27" customWidth="1"/>
    <col min="12" max="13" width="12.28125" style="27" customWidth="1"/>
    <col min="14" max="16384" width="8.7109375" style="27" customWidth="1"/>
  </cols>
  <sheetData>
    <row r="1" ht="12.75"/>
    <row r="2" ht="12.75">
      <c r="B2" s="251" t="s">
        <v>241</v>
      </c>
    </row>
    <row r="3" ht="13.5" thickBot="1">
      <c r="C3" s="28"/>
    </row>
    <row r="4" spans="2:13" ht="12.75">
      <c r="B4" s="265" t="s">
        <v>49</v>
      </c>
      <c r="C4" s="266"/>
      <c r="D4" s="29" t="s">
        <v>50</v>
      </c>
      <c r="E4" s="29" t="s">
        <v>51</v>
      </c>
      <c r="F4" s="29" t="s">
        <v>227</v>
      </c>
      <c r="G4" s="29"/>
      <c r="H4" s="29" t="s">
        <v>52</v>
      </c>
      <c r="I4" s="29" t="s">
        <v>53</v>
      </c>
      <c r="J4" s="30"/>
      <c r="K4" s="30"/>
      <c r="L4" s="31" t="s">
        <v>54</v>
      </c>
      <c r="M4" s="31" t="s">
        <v>55</v>
      </c>
    </row>
    <row r="5" spans="2:9" s="34" customFormat="1" ht="12.75">
      <c r="B5" s="259" t="s">
        <v>56</v>
      </c>
      <c r="C5" s="259"/>
      <c r="D5" s="33">
        <v>1</v>
      </c>
      <c r="E5" s="33">
        <v>1</v>
      </c>
      <c r="F5" s="33">
        <v>1</v>
      </c>
      <c r="G5" s="33">
        <v>0</v>
      </c>
      <c r="H5" s="33">
        <v>2</v>
      </c>
      <c r="I5" s="33">
        <v>2</v>
      </c>
    </row>
    <row r="6" spans="2:13" s="34" customFormat="1" ht="12.75">
      <c r="B6" s="263" t="s">
        <v>57</v>
      </c>
      <c r="C6" s="264"/>
      <c r="D6" s="36">
        <v>0.5</v>
      </c>
      <c r="E6" s="36">
        <v>0.2</v>
      </c>
      <c r="F6" s="36">
        <v>0.3</v>
      </c>
      <c r="G6" s="36">
        <v>0</v>
      </c>
      <c r="H6" s="36">
        <v>0.5</v>
      </c>
      <c r="I6" s="36">
        <v>0.5</v>
      </c>
      <c r="J6" s="37"/>
      <c r="K6" s="37"/>
      <c r="L6" s="38">
        <f>J148</f>
        <v>1</v>
      </c>
      <c r="M6" s="38">
        <f>J183</f>
        <v>1</v>
      </c>
    </row>
    <row r="7" spans="3:9" s="34" customFormat="1" ht="12.75">
      <c r="C7" s="39">
        <f>IF(L6=0,"",IF(OR(L6&lt;0.985,L6&gt;1.015),"Total percent for rotation 1 does not equal 100%",""))</f>
      </c>
      <c r="D7" s="39"/>
      <c r="E7" s="40"/>
      <c r="F7" s="39">
        <f>IF(M6=0,"",IF(OR(M6&lt;0.985,M6&gt;1.015),"Total percent for rotation 2 does not equal 100%",""))</f>
      </c>
      <c r="G7" s="40"/>
      <c r="H7" s="40"/>
      <c r="I7" s="40"/>
    </row>
    <row r="8" spans="2:11" ht="12.75">
      <c r="B8" s="258" t="s">
        <v>58</v>
      </c>
      <c r="C8" s="258"/>
      <c r="D8" s="42">
        <f aca="true" t="shared" si="0" ref="D8:I8">IF(D5+D6=0,1,0)</f>
        <v>0</v>
      </c>
      <c r="E8" s="42">
        <f t="shared" si="0"/>
        <v>0</v>
      </c>
      <c r="F8" s="42">
        <f t="shared" si="0"/>
        <v>0</v>
      </c>
      <c r="G8" s="42">
        <f t="shared" si="0"/>
        <v>1</v>
      </c>
      <c r="H8" s="42">
        <f t="shared" si="0"/>
        <v>0</v>
      </c>
      <c r="I8" s="42">
        <f t="shared" si="0"/>
        <v>0</v>
      </c>
      <c r="J8" s="43"/>
      <c r="K8" s="43"/>
    </row>
    <row r="9" spans="2:13" ht="12.75">
      <c r="B9" s="41" t="s">
        <v>59</v>
      </c>
      <c r="D9" s="44">
        <v>41</v>
      </c>
      <c r="E9" s="44">
        <v>21</v>
      </c>
      <c r="F9" s="44">
        <v>82</v>
      </c>
      <c r="G9" s="44">
        <v>102</v>
      </c>
      <c r="H9" s="44">
        <v>92</v>
      </c>
      <c r="I9" s="44">
        <v>23</v>
      </c>
      <c r="J9" s="45"/>
      <c r="K9" s="46"/>
      <c r="L9" s="47" t="s">
        <v>60</v>
      </c>
      <c r="M9" s="47" t="s">
        <v>60</v>
      </c>
    </row>
    <row r="10" spans="2:13" ht="12.75">
      <c r="B10" s="41" t="s">
        <v>61</v>
      </c>
      <c r="D10" s="48">
        <v>4</v>
      </c>
      <c r="E10" s="48">
        <v>5.75</v>
      </c>
      <c r="F10" s="48">
        <v>2.2</v>
      </c>
      <c r="G10" s="48">
        <v>2.25</v>
      </c>
      <c r="H10" s="48">
        <v>2.25</v>
      </c>
      <c r="I10" s="48">
        <v>5.75</v>
      </c>
      <c r="J10" s="49"/>
      <c r="K10" s="46"/>
      <c r="L10" s="47" t="s">
        <v>60</v>
      </c>
      <c r="M10" s="47" t="s">
        <v>60</v>
      </c>
    </row>
    <row r="11" spans="2:13" ht="12.75">
      <c r="B11" s="41" t="s">
        <v>62</v>
      </c>
      <c r="D11" s="48">
        <v>0</v>
      </c>
      <c r="E11" s="48">
        <v>0</v>
      </c>
      <c r="F11" s="48">
        <v>0</v>
      </c>
      <c r="G11" s="48">
        <v>0</v>
      </c>
      <c r="H11" s="48">
        <v>0</v>
      </c>
      <c r="I11" s="48">
        <v>0</v>
      </c>
      <c r="J11" s="49"/>
      <c r="K11" s="46"/>
      <c r="L11" s="50">
        <f>IF(L$6=0,"n/a ",J151)</f>
        <v>0</v>
      </c>
      <c r="M11" s="50">
        <f>IF(M$6=0,"n/a ",J186)</f>
        <v>0</v>
      </c>
    </row>
    <row r="12" spans="2:13" ht="12.75">
      <c r="B12" s="41" t="s">
        <v>63</v>
      </c>
      <c r="D12" s="48">
        <v>0</v>
      </c>
      <c r="E12" s="48">
        <v>17.25</v>
      </c>
      <c r="F12" s="48">
        <v>0</v>
      </c>
      <c r="G12" s="48">
        <v>0</v>
      </c>
      <c r="H12" s="48">
        <v>0</v>
      </c>
      <c r="I12" s="48">
        <v>0</v>
      </c>
      <c r="J12" s="49"/>
      <c r="K12" s="46"/>
      <c r="L12" s="50">
        <f>IF(L$6=0,"n/a ",J152)</f>
        <v>3.45</v>
      </c>
      <c r="M12" s="50">
        <f>IF(M$6=0,"n/a ",J187)</f>
        <v>0</v>
      </c>
    </row>
    <row r="13" spans="2:15" ht="12.75">
      <c r="B13" s="41" t="s">
        <v>64</v>
      </c>
      <c r="D13" s="48">
        <v>0</v>
      </c>
      <c r="E13" s="48">
        <v>0</v>
      </c>
      <c r="F13" s="48">
        <v>0</v>
      </c>
      <c r="G13" s="48">
        <v>0</v>
      </c>
      <c r="H13" s="48">
        <v>0</v>
      </c>
      <c r="I13" s="48">
        <v>0</v>
      </c>
      <c r="J13" s="49"/>
      <c r="K13" s="46"/>
      <c r="L13" s="50">
        <f>IF(L$6=0,"n/a ",J153)</f>
        <v>0</v>
      </c>
      <c r="M13" s="50">
        <f>IF(M$6=0,"n/a ",J188)</f>
        <v>0</v>
      </c>
      <c r="O13" s="236"/>
    </row>
    <row r="14" spans="2:15" s="34" customFormat="1" ht="12.75">
      <c r="B14" s="32" t="s">
        <v>65</v>
      </c>
      <c r="D14" s="51">
        <f aca="true" t="shared" si="1" ref="D14:I14">IF(D8=1,"",D9*D10+D11+D12+D13)</f>
        <v>164</v>
      </c>
      <c r="E14" s="51">
        <f t="shared" si="1"/>
        <v>138</v>
      </c>
      <c r="F14" s="51">
        <f t="shared" si="1"/>
        <v>180.4</v>
      </c>
      <c r="G14" s="51">
        <f t="shared" si="1"/>
      </c>
      <c r="H14" s="51">
        <f t="shared" si="1"/>
        <v>207</v>
      </c>
      <c r="I14" s="51">
        <f t="shared" si="1"/>
        <v>132.25</v>
      </c>
      <c r="J14" s="52"/>
      <c r="K14" s="53"/>
      <c r="L14" s="50">
        <f>IF(L$6=0,"n/a ",J154)</f>
        <v>163.72</v>
      </c>
      <c r="M14" s="50">
        <f>IF(M$6=0,"n/a ",J189)</f>
        <v>169.625</v>
      </c>
      <c r="O14" s="237">
        <f>IF($O$32=$L$32,L14,M14)</f>
        <v>163.72</v>
      </c>
    </row>
    <row r="15" spans="2:15" ht="12.75">
      <c r="B15" s="41"/>
      <c r="D15" s="54"/>
      <c r="E15" s="54"/>
      <c r="F15" s="54"/>
      <c r="G15" s="54"/>
      <c r="H15" s="54"/>
      <c r="I15" s="54"/>
      <c r="J15" s="55"/>
      <c r="K15" s="43"/>
      <c r="O15" s="238"/>
    </row>
    <row r="16" spans="2:15" ht="12.75">
      <c r="B16" s="258" t="s">
        <v>66</v>
      </c>
      <c r="C16" s="258"/>
      <c r="J16" s="34"/>
      <c r="O16" s="238"/>
    </row>
    <row r="17" spans="3:15" ht="12.75">
      <c r="C17" s="56" t="s">
        <v>67</v>
      </c>
      <c r="D17" s="57">
        <f aca="true" t="shared" si="2" ref="D17:I17">IF(D8=1,"",D42*D43)</f>
        <v>7.2</v>
      </c>
      <c r="E17" s="57">
        <f t="shared" si="2"/>
        <v>30.0979551</v>
      </c>
      <c r="F17" s="57">
        <f t="shared" si="2"/>
        <v>12</v>
      </c>
      <c r="G17" s="57">
        <f t="shared" si="2"/>
      </c>
      <c r="H17" s="57">
        <f t="shared" si="2"/>
        <v>30</v>
      </c>
      <c r="I17" s="57">
        <f t="shared" si="2"/>
        <v>33.6</v>
      </c>
      <c r="J17" s="49"/>
      <c r="K17" s="46"/>
      <c r="L17" s="50">
        <f aca="true" t="shared" si="3" ref="L17:L32">IF(L$6=0,"n/a ",J157)</f>
        <v>13.21959102</v>
      </c>
      <c r="M17" s="50">
        <f aca="true" t="shared" si="4" ref="M17:M32">IF(M$6=0,"n/a ",J192)</f>
        <v>31.8</v>
      </c>
      <c r="O17" s="238"/>
    </row>
    <row r="18" spans="3:15" ht="12.75">
      <c r="C18" s="56" t="s">
        <v>68</v>
      </c>
      <c r="D18" s="58">
        <f aca="true" t="shared" si="5" ref="D18:I18">IF(D8=1,"",SUMPRODUCT(D51:D60,$J51:$J60))</f>
        <v>4.7751</v>
      </c>
      <c r="E18" s="58">
        <f t="shared" si="5"/>
        <v>10.91</v>
      </c>
      <c r="F18" s="58">
        <f t="shared" si="5"/>
        <v>30.98</v>
      </c>
      <c r="G18" s="58">
        <f t="shared" si="5"/>
      </c>
      <c r="H18" s="58">
        <f t="shared" si="5"/>
        <v>30.98</v>
      </c>
      <c r="I18" s="58">
        <f t="shared" si="5"/>
        <v>19.19</v>
      </c>
      <c r="J18" s="49"/>
      <c r="K18" s="46"/>
      <c r="L18" s="59">
        <f t="shared" si="3"/>
        <v>13.86355</v>
      </c>
      <c r="M18" s="59">
        <f t="shared" si="4"/>
        <v>25.085</v>
      </c>
      <c r="O18" s="238"/>
    </row>
    <row r="19" spans="3:15" ht="12.75">
      <c r="C19" s="56" t="s">
        <v>69</v>
      </c>
      <c r="D19" s="58">
        <f aca="true" t="shared" si="6" ref="D19:I19">IF(D8=1,"",SUMPRODUCT(D62:D65,$J62:$J65))</f>
        <v>0</v>
      </c>
      <c r="E19" s="58">
        <f t="shared" si="6"/>
        <v>0</v>
      </c>
      <c r="F19" s="58">
        <f t="shared" si="6"/>
        <v>0</v>
      </c>
      <c r="G19" s="58">
        <f t="shared" si="6"/>
      </c>
      <c r="H19" s="58">
        <f t="shared" si="6"/>
        <v>0</v>
      </c>
      <c r="I19" s="58">
        <f t="shared" si="6"/>
        <v>0</v>
      </c>
      <c r="J19" s="49"/>
      <c r="K19" s="46"/>
      <c r="L19" s="59">
        <f t="shared" si="3"/>
        <v>0</v>
      </c>
      <c r="M19" s="59">
        <f t="shared" si="4"/>
        <v>0</v>
      </c>
      <c r="O19" s="238"/>
    </row>
    <row r="20" spans="3:15" ht="12.75">
      <c r="C20" s="56" t="s">
        <v>70</v>
      </c>
      <c r="D20" s="58">
        <f aca="true" t="shared" si="7" ref="D20:I20">IF(D8=1,"",SUMPRODUCT(D45:D49,$J45:$J49))</f>
        <v>25.84</v>
      </c>
      <c r="E20" s="58">
        <f t="shared" si="7"/>
        <v>0</v>
      </c>
      <c r="F20" s="58">
        <f t="shared" si="7"/>
        <v>32.688</v>
      </c>
      <c r="G20" s="58">
        <f t="shared" si="7"/>
      </c>
      <c r="H20" s="58">
        <f t="shared" si="7"/>
        <v>34.93</v>
      </c>
      <c r="I20" s="58">
        <f t="shared" si="7"/>
        <v>4.859999999999999</v>
      </c>
      <c r="J20" s="49"/>
      <c r="K20" s="46"/>
      <c r="L20" s="59">
        <f t="shared" si="3"/>
        <v>22.726399999999998</v>
      </c>
      <c r="M20" s="59">
        <f t="shared" si="4"/>
        <v>19.895</v>
      </c>
      <c r="O20" s="238"/>
    </row>
    <row r="21" spans="3:15" ht="12.75">
      <c r="C21" s="56" t="s">
        <v>71</v>
      </c>
      <c r="D21" s="60">
        <v>0</v>
      </c>
      <c r="E21" s="60">
        <f>D21</f>
        <v>0</v>
      </c>
      <c r="F21" s="60">
        <f>E21</f>
        <v>0</v>
      </c>
      <c r="G21" s="60">
        <v>0</v>
      </c>
      <c r="H21" s="60">
        <f>G21</f>
        <v>0</v>
      </c>
      <c r="I21" s="60">
        <f>H21</f>
        <v>0</v>
      </c>
      <c r="J21" s="49"/>
      <c r="K21" s="46"/>
      <c r="L21" s="59">
        <f t="shared" si="3"/>
        <v>0</v>
      </c>
      <c r="M21" s="59">
        <f t="shared" si="4"/>
        <v>0</v>
      </c>
      <c r="O21" s="238"/>
    </row>
    <row r="22" spans="3:15" ht="12.75">
      <c r="C22" s="56" t="s">
        <v>72</v>
      </c>
      <c r="D22" s="60">
        <v>3.5</v>
      </c>
      <c r="E22" s="60">
        <v>5</v>
      </c>
      <c r="F22" s="60">
        <f>E22</f>
        <v>5</v>
      </c>
      <c r="G22" s="60">
        <v>0</v>
      </c>
      <c r="H22" s="60">
        <f>G22</f>
        <v>0</v>
      </c>
      <c r="I22" s="60">
        <f>H22</f>
        <v>0</v>
      </c>
      <c r="J22" s="49"/>
      <c r="K22" s="46"/>
      <c r="L22" s="59">
        <f t="shared" si="3"/>
        <v>4.25</v>
      </c>
      <c r="M22" s="59">
        <f t="shared" si="4"/>
        <v>0</v>
      </c>
      <c r="O22" s="238"/>
    </row>
    <row r="23" spans="3:15" ht="12.75">
      <c r="C23" s="56" t="s">
        <v>73</v>
      </c>
      <c r="D23" s="58">
        <f aca="true" t="shared" si="8" ref="D23:I23">IF(D8=1,"",D68*D9)</f>
        <v>0</v>
      </c>
      <c r="E23" s="58">
        <f t="shared" si="8"/>
        <v>0</v>
      </c>
      <c r="F23" s="58">
        <f t="shared" si="8"/>
        <v>10.66</v>
      </c>
      <c r="G23" s="58">
        <f t="shared" si="8"/>
      </c>
      <c r="H23" s="58">
        <f t="shared" si="8"/>
        <v>11.96</v>
      </c>
      <c r="I23" s="58">
        <f t="shared" si="8"/>
        <v>0</v>
      </c>
      <c r="J23" s="49"/>
      <c r="K23" s="46"/>
      <c r="L23" s="59">
        <f t="shared" si="3"/>
        <v>3.198</v>
      </c>
      <c r="M23" s="59">
        <f t="shared" si="4"/>
        <v>5.98</v>
      </c>
      <c r="O23" s="238"/>
    </row>
    <row r="24" spans="3:15" ht="12.75">
      <c r="C24" s="41" t="s">
        <v>74</v>
      </c>
      <c r="D24" s="60">
        <v>5</v>
      </c>
      <c r="E24" s="60">
        <f>D24</f>
        <v>5</v>
      </c>
      <c r="F24" s="60">
        <f>E24</f>
        <v>5</v>
      </c>
      <c r="G24" s="60">
        <v>0</v>
      </c>
      <c r="H24" s="60">
        <f>E24</f>
        <v>5</v>
      </c>
      <c r="I24" s="60">
        <f>H24</f>
        <v>5</v>
      </c>
      <c r="J24" s="49"/>
      <c r="K24" s="46"/>
      <c r="L24" s="59">
        <f t="shared" si="3"/>
        <v>5</v>
      </c>
      <c r="M24" s="59">
        <f t="shared" si="4"/>
        <v>5</v>
      </c>
      <c r="O24" s="238"/>
    </row>
    <row r="25" spans="3:15" ht="12.75">
      <c r="C25" s="56" t="s">
        <v>75</v>
      </c>
      <c r="D25" s="58">
        <f aca="true" t="shared" si="9" ref="D25:I25">IF(D8=1,"",D77+SUMPRODUCT(D79:D86,$J79:$J86)+D88+IF(D9&gt;D90,(D9-D90)*D89,0)+D91*D9)</f>
        <v>67.06602</v>
      </c>
      <c r="E25" s="58">
        <f t="shared" si="9"/>
        <v>48.764</v>
      </c>
      <c r="F25" s="58">
        <f t="shared" si="9"/>
        <v>55.185</v>
      </c>
      <c r="G25" s="58">
        <f t="shared" si="9"/>
      </c>
      <c r="H25" s="58">
        <f t="shared" si="9"/>
        <v>68.3034</v>
      </c>
      <c r="I25" s="58">
        <f t="shared" si="9"/>
        <v>41.241</v>
      </c>
      <c r="J25" s="49"/>
      <c r="K25" s="46"/>
      <c r="L25" s="59">
        <f t="shared" si="3"/>
        <v>59.84130999999999</v>
      </c>
      <c r="M25" s="59">
        <f t="shared" si="4"/>
        <v>54.7722</v>
      </c>
      <c r="O25" s="238"/>
    </row>
    <row r="26" spans="3:15" ht="12.75">
      <c r="C26" s="56" t="s">
        <v>76</v>
      </c>
      <c r="D26" s="58">
        <f aca="true" t="shared" si="10" ref="D26:I26">IF(D8=1,"",D93*$J93)</f>
        <v>15</v>
      </c>
      <c r="E26" s="58">
        <f t="shared" si="10"/>
        <v>15</v>
      </c>
      <c r="F26" s="58">
        <f t="shared" si="10"/>
        <v>15</v>
      </c>
      <c r="G26" s="58">
        <f t="shared" si="10"/>
      </c>
      <c r="H26" s="58">
        <f t="shared" si="10"/>
        <v>15</v>
      </c>
      <c r="I26" s="58">
        <f t="shared" si="10"/>
        <v>15</v>
      </c>
      <c r="J26" s="49"/>
      <c r="K26" s="46"/>
      <c r="L26" s="59">
        <f t="shared" si="3"/>
        <v>15</v>
      </c>
      <c r="M26" s="59">
        <f t="shared" si="4"/>
        <v>15</v>
      </c>
      <c r="O26" s="238"/>
    </row>
    <row r="27" spans="3:15" ht="12.75">
      <c r="C27" s="56" t="s">
        <v>77</v>
      </c>
      <c r="D27" s="58">
        <f aca="true" t="shared" si="11" ref="D27:I27">IF(D8=1,"",SUM(D115:D119))</f>
        <v>0</v>
      </c>
      <c r="E27" s="58">
        <f t="shared" si="11"/>
        <v>0</v>
      </c>
      <c r="F27" s="58">
        <f t="shared" si="11"/>
        <v>0</v>
      </c>
      <c r="G27" s="58">
        <f t="shared" si="11"/>
      </c>
      <c r="H27" s="58">
        <f t="shared" si="11"/>
        <v>0</v>
      </c>
      <c r="I27" s="58">
        <f t="shared" si="11"/>
        <v>0</v>
      </c>
      <c r="J27" s="49"/>
      <c r="K27" s="46"/>
      <c r="L27" s="59">
        <f t="shared" si="3"/>
        <v>0</v>
      </c>
      <c r="M27" s="59">
        <f t="shared" si="4"/>
        <v>0</v>
      </c>
      <c r="O27" s="238"/>
    </row>
    <row r="28" spans="3:15" ht="12.75">
      <c r="C28" s="41" t="s">
        <v>244</v>
      </c>
      <c r="D28" s="256">
        <v>4</v>
      </c>
      <c r="E28" s="256">
        <v>4</v>
      </c>
      <c r="F28" s="256">
        <v>4</v>
      </c>
      <c r="G28" s="256">
        <v>0</v>
      </c>
      <c r="H28" s="256">
        <v>4</v>
      </c>
      <c r="I28" s="256">
        <v>4</v>
      </c>
      <c r="J28" s="49"/>
      <c r="K28" s="46"/>
      <c r="L28" s="59">
        <f t="shared" si="3"/>
        <v>4</v>
      </c>
      <c r="M28" s="59">
        <f t="shared" si="4"/>
        <v>4</v>
      </c>
      <c r="O28" s="238"/>
    </row>
    <row r="29" spans="2:15" ht="12.75">
      <c r="B29" s="41" t="s">
        <v>79</v>
      </c>
      <c r="D29" s="57">
        <f aca="true" t="shared" si="12" ref="D29:I29">IF(D8=1,"",SUM(D17:D28))</f>
        <v>132.38112</v>
      </c>
      <c r="E29" s="57">
        <f t="shared" si="12"/>
        <v>118.77195510000001</v>
      </c>
      <c r="F29" s="57">
        <f t="shared" si="12"/>
        <v>170.513</v>
      </c>
      <c r="G29" s="57">
        <f t="shared" si="12"/>
      </c>
      <c r="H29" s="57">
        <f t="shared" si="12"/>
        <v>200.17340000000002</v>
      </c>
      <c r="I29" s="57">
        <f t="shared" si="12"/>
        <v>122.891</v>
      </c>
      <c r="J29" s="52"/>
      <c r="K29" s="46"/>
      <c r="L29" s="50">
        <f t="shared" si="3"/>
        <v>141.09885102</v>
      </c>
      <c r="M29" s="50">
        <f t="shared" si="4"/>
        <v>161.53220000000002</v>
      </c>
      <c r="O29" s="238"/>
    </row>
    <row r="30" spans="3:15" ht="12.75">
      <c r="C30" s="41" t="s">
        <v>80</v>
      </c>
      <c r="D30" s="58">
        <f aca="true" t="shared" si="13" ref="D30:I30">IF(D8=1,"",(D29-D23-D27+D115+D116+D117-D28)/2*$J97)</f>
        <v>5.135244800000001</v>
      </c>
      <c r="E30" s="58">
        <f t="shared" si="13"/>
        <v>4.590878204000001</v>
      </c>
      <c r="F30" s="58">
        <f t="shared" si="13"/>
        <v>6.234120000000001</v>
      </c>
      <c r="G30" s="58">
        <f t="shared" si="13"/>
      </c>
      <c r="H30" s="58">
        <f t="shared" si="13"/>
        <v>7.368536000000001</v>
      </c>
      <c r="I30" s="58">
        <f t="shared" si="13"/>
        <v>4.7556400000000005</v>
      </c>
      <c r="J30" s="52"/>
      <c r="K30" s="46"/>
      <c r="L30" s="59">
        <f t="shared" si="3"/>
        <v>5.356034040800001</v>
      </c>
      <c r="M30" s="59">
        <f t="shared" si="4"/>
        <v>6.062088000000001</v>
      </c>
      <c r="O30" s="238"/>
    </row>
    <row r="31" spans="2:15" ht="12.75">
      <c r="B31" s="35" t="s">
        <v>81</v>
      </c>
      <c r="C31" s="35"/>
      <c r="D31" s="61">
        <f aca="true" t="shared" si="14" ref="D31:I31">IF(D8=1,"",D29+D30)</f>
        <v>137.51636480000002</v>
      </c>
      <c r="E31" s="61">
        <f t="shared" si="14"/>
        <v>123.36283330400002</v>
      </c>
      <c r="F31" s="61">
        <f t="shared" si="14"/>
        <v>176.74712</v>
      </c>
      <c r="G31" s="61">
        <f t="shared" si="14"/>
      </c>
      <c r="H31" s="61">
        <f t="shared" si="14"/>
        <v>207.54193600000002</v>
      </c>
      <c r="I31" s="61">
        <f t="shared" si="14"/>
        <v>127.64664</v>
      </c>
      <c r="J31" s="62"/>
      <c r="K31" s="63"/>
      <c r="L31" s="64">
        <f t="shared" si="3"/>
        <v>146.4548850608</v>
      </c>
      <c r="M31" s="64">
        <f t="shared" si="4"/>
        <v>167.594288</v>
      </c>
      <c r="O31" s="237">
        <f>IF($O$32=$L$32,L31,M31)</f>
        <v>146.4548850608</v>
      </c>
    </row>
    <row r="32" spans="2:15" ht="12.75">
      <c r="B32" s="67" t="s">
        <v>82</v>
      </c>
      <c r="D32" s="57">
        <f aca="true" t="shared" si="15" ref="D32:I32">IF(D8=1,"",D14-D31)</f>
        <v>26.48363519999998</v>
      </c>
      <c r="E32" s="57">
        <f t="shared" si="15"/>
        <v>14.63716669599998</v>
      </c>
      <c r="F32" s="57">
        <f t="shared" si="15"/>
        <v>3.6528800000000103</v>
      </c>
      <c r="G32" s="57">
        <f t="shared" si="15"/>
      </c>
      <c r="H32" s="57">
        <f t="shared" si="15"/>
        <v>-0.5419360000000211</v>
      </c>
      <c r="I32" s="57">
        <f t="shared" si="15"/>
        <v>4.603359999999995</v>
      </c>
      <c r="J32" s="52"/>
      <c r="K32" s="46"/>
      <c r="L32" s="50">
        <f t="shared" si="3"/>
        <v>17.26511493919999</v>
      </c>
      <c r="M32" s="50">
        <f t="shared" si="4"/>
        <v>2.030711999999987</v>
      </c>
      <c r="O32" s="239">
        <f>IF(L32&gt;M32,L32,(IF(M32=0,L32,M32)))</f>
        <v>17.26511493919999</v>
      </c>
    </row>
    <row r="33" spans="2:15" ht="12.75">
      <c r="B33" s="35" t="s">
        <v>83</v>
      </c>
      <c r="D33" s="64">
        <f aca="true" t="shared" si="16" ref="D33:I33">IF(D8=1,"",IF(D9=0,"n/a",D31/D9))</f>
        <v>3.3540576780487807</v>
      </c>
      <c r="E33" s="64">
        <f t="shared" si="16"/>
        <v>5.87442063352381</v>
      </c>
      <c r="F33" s="64">
        <f t="shared" si="16"/>
        <v>2.1554526829268292</v>
      </c>
      <c r="G33" s="64">
        <f t="shared" si="16"/>
      </c>
      <c r="H33" s="64">
        <f t="shared" si="16"/>
        <v>2.2558906086956525</v>
      </c>
      <c r="I33" s="64">
        <f t="shared" si="16"/>
        <v>5.549853913043479</v>
      </c>
      <c r="J33" s="63"/>
      <c r="K33" s="63"/>
      <c r="L33" s="47" t="s">
        <v>60</v>
      </c>
      <c r="M33" s="47" t="s">
        <v>60</v>
      </c>
      <c r="O33" s="240"/>
    </row>
    <row r="34" spans="2:15" ht="13.5" thickBot="1">
      <c r="B34" s="68" t="s">
        <v>84</v>
      </c>
      <c r="C34" s="68"/>
      <c r="D34" s="69">
        <f aca="true" t="shared" si="17" ref="D34:I34">IF(D8=1,"",IF(D9=0,"n/a",(D32+D30)/D29))</f>
        <v>0.23884735225083442</v>
      </c>
      <c r="E34" s="69">
        <f t="shared" si="17"/>
        <v>0.16189044698145225</v>
      </c>
      <c r="F34" s="69">
        <f t="shared" si="17"/>
        <v>0.0579838487388059</v>
      </c>
      <c r="G34" s="69">
        <f t="shared" si="17"/>
      </c>
      <c r="H34" s="69">
        <f t="shared" si="17"/>
        <v>0.034103432324174836</v>
      </c>
      <c r="I34" s="69">
        <f t="shared" si="17"/>
        <v>0.07615691954659003</v>
      </c>
      <c r="J34" s="70"/>
      <c r="K34" s="71"/>
      <c r="L34" s="69">
        <f>IF(L$6=0,"n/a ",(L32+L30)/L29)</f>
        <v>0.16032128409602403</v>
      </c>
      <c r="M34" s="69">
        <f>IF(M6=0,"n/a ",(M32+M30)/M29)</f>
        <v>0.05010022769454008</v>
      </c>
      <c r="O34" s="241"/>
    </row>
    <row r="35" spans="2:11" ht="12.75">
      <c r="B35" s="41"/>
      <c r="D35" s="72"/>
      <c r="E35" s="72"/>
      <c r="F35" s="72"/>
      <c r="G35" s="72"/>
      <c r="H35" s="72"/>
      <c r="I35" s="72"/>
      <c r="J35" s="73"/>
      <c r="K35" s="73"/>
    </row>
    <row r="36" spans="2:11" ht="12.75">
      <c r="B36" s="41"/>
      <c r="D36" s="74"/>
      <c r="E36" s="74"/>
      <c r="F36" s="73"/>
      <c r="G36" s="73"/>
      <c r="H36" s="73"/>
      <c r="I36" s="73"/>
      <c r="J36" s="73"/>
      <c r="K36" s="73"/>
    </row>
    <row r="37" spans="2:11" ht="12.75">
      <c r="B37" s="41"/>
      <c r="D37" s="74"/>
      <c r="E37" s="74"/>
      <c r="F37" s="73"/>
      <c r="G37" s="73"/>
      <c r="H37" s="73"/>
      <c r="I37" s="73"/>
      <c r="J37" s="73"/>
      <c r="K37" s="73"/>
    </row>
    <row r="38" spans="4:11" s="41" customFormat="1" ht="12.75">
      <c r="D38" s="75"/>
      <c r="E38" s="75"/>
      <c r="F38" s="76"/>
      <c r="G38" s="76"/>
      <c r="H38" s="76"/>
      <c r="I38" s="76"/>
      <c r="J38" s="76"/>
      <c r="K38" s="76"/>
    </row>
    <row r="39" spans="2:11" s="41" customFormat="1" ht="13.5" thickBot="1">
      <c r="B39" s="77" t="s">
        <v>85</v>
      </c>
      <c r="C39" s="77"/>
      <c r="D39" s="77"/>
      <c r="E39" s="77"/>
      <c r="F39" s="77"/>
      <c r="G39" s="77"/>
      <c r="H39" s="77"/>
      <c r="I39" s="77"/>
      <c r="J39" s="77"/>
      <c r="K39" s="77"/>
    </row>
    <row r="40" s="75" customFormat="1" ht="12.75"/>
    <row r="41" spans="3:11" s="41" customFormat="1" ht="12.75">
      <c r="C41" s="35" t="s">
        <v>86</v>
      </c>
      <c r="D41" s="78" t="str">
        <f aca="true" t="shared" si="18" ref="D41:I41">IF(D8=1,"",D4)</f>
        <v>Wheat</v>
      </c>
      <c r="E41" s="78" t="str">
        <f t="shared" si="18"/>
        <v>Soybeans</v>
      </c>
      <c r="F41" s="78" t="str">
        <f t="shared" si="18"/>
        <v>Milo</v>
      </c>
      <c r="G41" s="78">
        <f t="shared" si="18"/>
      </c>
      <c r="H41" s="78" t="str">
        <f t="shared" si="18"/>
        <v>Corn</v>
      </c>
      <c r="I41" s="78" t="str">
        <f t="shared" si="18"/>
        <v>Soybean</v>
      </c>
      <c r="J41" s="78" t="s">
        <v>87</v>
      </c>
      <c r="K41" s="35"/>
    </row>
    <row r="42" spans="2:11" s="41" customFormat="1" ht="12.75">
      <c r="B42" s="257" t="s">
        <v>88</v>
      </c>
      <c r="C42" s="267"/>
      <c r="D42" s="79">
        <v>90</v>
      </c>
      <c r="E42" s="79">
        <v>148.047</v>
      </c>
      <c r="F42" s="79">
        <v>12</v>
      </c>
      <c r="G42" s="79">
        <v>24</v>
      </c>
      <c r="H42" s="79">
        <v>24</v>
      </c>
      <c r="I42" s="79">
        <v>210</v>
      </c>
      <c r="K42" s="80"/>
    </row>
    <row r="43" spans="2:11" s="41" customFormat="1" ht="12.75">
      <c r="B43" s="259" t="s">
        <v>89</v>
      </c>
      <c r="C43" s="260"/>
      <c r="D43" s="81">
        <v>0.08</v>
      </c>
      <c r="E43" s="82">
        <v>0.2033</v>
      </c>
      <c r="F43" s="81">
        <v>1</v>
      </c>
      <c r="G43" s="81">
        <v>1.65</v>
      </c>
      <c r="H43" s="82">
        <v>1.25</v>
      </c>
      <c r="I43" s="82">
        <v>0.16</v>
      </c>
      <c r="J43" s="83"/>
      <c r="K43" s="80"/>
    </row>
    <row r="44" spans="2:10" s="41" customFormat="1" ht="12.75">
      <c r="B44" s="258" t="s">
        <v>90</v>
      </c>
      <c r="C44" s="258"/>
      <c r="D44" s="84"/>
      <c r="E44" s="84"/>
      <c r="F44" s="84"/>
      <c r="G44" s="84"/>
      <c r="H44" s="84"/>
      <c r="I44" s="84"/>
      <c r="J44" s="85"/>
    </row>
    <row r="45" spans="3:11" s="41" customFormat="1" ht="12.75">
      <c r="C45" s="79" t="s">
        <v>91</v>
      </c>
      <c r="D45" s="86">
        <v>0</v>
      </c>
      <c r="E45" s="86">
        <v>0</v>
      </c>
      <c r="F45" s="86">
        <v>0</v>
      </c>
      <c r="G45" s="86">
        <v>73</v>
      </c>
      <c r="H45" s="86">
        <v>73</v>
      </c>
      <c r="I45" s="86">
        <v>0</v>
      </c>
      <c r="J45" s="82">
        <v>0.25</v>
      </c>
      <c r="K45" s="87" t="s">
        <v>92</v>
      </c>
    </row>
    <row r="46" spans="3:11" s="41" customFormat="1" ht="12.75">
      <c r="C46" s="79" t="s">
        <v>93</v>
      </c>
      <c r="D46" s="86">
        <v>62</v>
      </c>
      <c r="E46" s="86">
        <v>0</v>
      </c>
      <c r="F46" s="86">
        <v>79.2</v>
      </c>
      <c r="G46" s="86">
        <v>24</v>
      </c>
      <c r="H46" s="86">
        <v>24</v>
      </c>
      <c r="I46" s="86">
        <v>0</v>
      </c>
      <c r="J46" s="82">
        <v>0.35</v>
      </c>
      <c r="K46" s="87" t="s">
        <v>92</v>
      </c>
    </row>
    <row r="47" spans="3:11" s="41" customFormat="1" ht="12.75">
      <c r="C47" s="79" t="s">
        <v>94</v>
      </c>
      <c r="D47" s="86">
        <v>23</v>
      </c>
      <c r="E47" s="86">
        <v>0</v>
      </c>
      <c r="F47" s="86">
        <v>27.6</v>
      </c>
      <c r="G47" s="86">
        <v>46</v>
      </c>
      <c r="H47" s="86">
        <v>46</v>
      </c>
      <c r="I47" s="86">
        <v>27</v>
      </c>
      <c r="J47" s="82">
        <v>0.18</v>
      </c>
      <c r="K47" s="87" t="s">
        <v>92</v>
      </c>
    </row>
    <row r="48" spans="3:11" s="41" customFormat="1" ht="12.75">
      <c r="C48" s="79" t="s">
        <v>95</v>
      </c>
      <c r="D48" s="86">
        <v>0</v>
      </c>
      <c r="E48" s="86">
        <v>0</v>
      </c>
      <c r="F48" s="86">
        <v>0</v>
      </c>
      <c r="G48" s="86">
        <v>0</v>
      </c>
      <c r="H48" s="86">
        <v>0</v>
      </c>
      <c r="I48" s="86">
        <v>0</v>
      </c>
      <c r="J48" s="82">
        <v>0.14</v>
      </c>
      <c r="K48" s="87" t="s">
        <v>92</v>
      </c>
    </row>
    <row r="49" spans="3:11" s="41" customFormat="1" ht="12.75">
      <c r="C49" s="79" t="s">
        <v>96</v>
      </c>
      <c r="D49" s="86">
        <v>0</v>
      </c>
      <c r="E49" s="86">
        <v>0</v>
      </c>
      <c r="F49" s="86">
        <v>0</v>
      </c>
      <c r="G49" s="86">
        <v>0</v>
      </c>
      <c r="H49" s="86">
        <v>0</v>
      </c>
      <c r="I49" s="86">
        <v>0</v>
      </c>
      <c r="J49" s="82">
        <v>0.01</v>
      </c>
      <c r="K49" s="87" t="s">
        <v>92</v>
      </c>
    </row>
    <row r="50" spans="2:3" s="41" customFormat="1" ht="12.75">
      <c r="B50" s="258" t="s">
        <v>97</v>
      </c>
      <c r="C50" s="258"/>
    </row>
    <row r="51" spans="3:11" s="41" customFormat="1" ht="12.75">
      <c r="C51" s="79" t="s">
        <v>98</v>
      </c>
      <c r="D51" s="88">
        <v>0.33</v>
      </c>
      <c r="E51" s="88"/>
      <c r="F51" s="88"/>
      <c r="G51" s="88"/>
      <c r="H51" s="88"/>
      <c r="I51" s="88"/>
      <c r="J51" s="82">
        <f>14.47</f>
        <v>14.47</v>
      </c>
      <c r="K51" s="87" t="s">
        <v>99</v>
      </c>
    </row>
    <row r="52" spans="3:11" s="41" customFormat="1" ht="12.75">
      <c r="C52" s="79"/>
      <c r="D52" s="88"/>
      <c r="E52" s="88"/>
      <c r="F52" s="88"/>
      <c r="G52" s="88"/>
      <c r="H52" s="88"/>
      <c r="I52" s="88"/>
      <c r="J52" s="82"/>
      <c r="K52" s="87"/>
    </row>
    <row r="53" spans="3:11" s="41" customFormat="1" ht="12.75">
      <c r="C53" s="79" t="s">
        <v>100</v>
      </c>
      <c r="D53" s="89"/>
      <c r="E53" s="89"/>
      <c r="F53" s="89">
        <v>2</v>
      </c>
      <c r="G53" s="89">
        <v>2</v>
      </c>
      <c r="H53" s="89">
        <v>2</v>
      </c>
      <c r="I53" s="89"/>
      <c r="J53" s="82">
        <v>10.06</v>
      </c>
      <c r="K53" s="87" t="s">
        <v>101</v>
      </c>
    </row>
    <row r="54" spans="3:11" s="41" customFormat="1" ht="12.75">
      <c r="C54" s="79" t="s">
        <v>102</v>
      </c>
      <c r="D54" s="89"/>
      <c r="E54" s="89"/>
      <c r="F54" s="89">
        <v>1</v>
      </c>
      <c r="G54" s="89">
        <v>1</v>
      </c>
      <c r="H54" s="89">
        <v>1</v>
      </c>
      <c r="I54" s="89"/>
      <c r="J54" s="82">
        <v>10.86</v>
      </c>
      <c r="K54" s="87" t="s">
        <v>103</v>
      </c>
    </row>
    <row r="55" spans="3:11" s="41" customFormat="1" ht="12.75">
      <c r="C55" s="79"/>
      <c r="D55" s="89"/>
      <c r="E55" s="89"/>
      <c r="F55" s="89"/>
      <c r="G55" s="89"/>
      <c r="H55" s="89"/>
      <c r="I55" s="89"/>
      <c r="J55" s="82"/>
      <c r="K55" s="87"/>
    </row>
    <row r="56" spans="3:11" s="41" customFormat="1" ht="12.75">
      <c r="C56" s="79" t="s">
        <v>104</v>
      </c>
      <c r="D56" s="89"/>
      <c r="E56" s="89">
        <v>2</v>
      </c>
      <c r="F56" s="89"/>
      <c r="G56" s="89"/>
      <c r="H56" s="89"/>
      <c r="I56" s="89">
        <v>2</v>
      </c>
      <c r="J56" s="82">
        <v>5.26</v>
      </c>
      <c r="K56" s="87" t="s">
        <v>92</v>
      </c>
    </row>
    <row r="57" spans="3:11" s="41" customFormat="1" ht="12.75">
      <c r="C57" s="79" t="s">
        <v>105</v>
      </c>
      <c r="D57" s="89"/>
      <c r="E57" s="89">
        <v>1.5</v>
      </c>
      <c r="F57" s="89"/>
      <c r="G57" s="89"/>
      <c r="H57" s="89"/>
      <c r="I57" s="89">
        <v>1.5</v>
      </c>
      <c r="J57" s="82">
        <v>0.26</v>
      </c>
      <c r="K57" s="87" t="s">
        <v>92</v>
      </c>
    </row>
    <row r="58" spans="3:11" s="41" customFormat="1" ht="12.75">
      <c r="C58" s="79" t="s">
        <v>104</v>
      </c>
      <c r="D58" s="89"/>
      <c r="E58" s="89">
        <v>0</v>
      </c>
      <c r="F58" s="89"/>
      <c r="G58" s="89"/>
      <c r="H58" s="89"/>
      <c r="I58" s="89">
        <v>1.5</v>
      </c>
      <c r="J58" s="82">
        <v>5.26</v>
      </c>
      <c r="K58" s="87" t="s">
        <v>103</v>
      </c>
    </row>
    <row r="59" spans="3:11" s="41" customFormat="1" ht="12.75">
      <c r="C59" s="79" t="s">
        <v>105</v>
      </c>
      <c r="D59" s="89"/>
      <c r="E59" s="89">
        <v>0</v>
      </c>
      <c r="F59" s="89"/>
      <c r="G59" s="89"/>
      <c r="H59" s="89"/>
      <c r="I59" s="89">
        <v>1.5</v>
      </c>
      <c r="J59" s="82">
        <v>0.26</v>
      </c>
      <c r="K59" s="79" t="s">
        <v>92</v>
      </c>
    </row>
    <row r="60" spans="3:11" s="41" customFormat="1" ht="12.75">
      <c r="C60" s="79" t="s">
        <v>106</v>
      </c>
      <c r="D60" s="89"/>
      <c r="E60" s="89"/>
      <c r="F60" s="89"/>
      <c r="G60" s="89"/>
      <c r="H60" s="89"/>
      <c r="I60" s="89"/>
      <c r="J60" s="82"/>
      <c r="K60" s="87"/>
    </row>
    <row r="61" spans="2:11" s="41" customFormat="1" ht="12.75">
      <c r="B61" s="258" t="s">
        <v>107</v>
      </c>
      <c r="C61" s="258"/>
      <c r="D61" s="90"/>
      <c r="E61" s="90"/>
      <c r="F61" s="90"/>
      <c r="G61" s="90"/>
      <c r="H61" s="90"/>
      <c r="I61" s="90"/>
      <c r="J61" s="85"/>
      <c r="K61" s="80"/>
    </row>
    <row r="62" spans="3:11" s="41" customFormat="1" ht="12.75">
      <c r="C62" s="79" t="s">
        <v>106</v>
      </c>
      <c r="D62" s="88"/>
      <c r="E62" s="88"/>
      <c r="F62" s="88"/>
      <c r="G62" s="88"/>
      <c r="H62" s="88"/>
      <c r="I62" s="88"/>
      <c r="J62" s="82"/>
      <c r="K62" s="87"/>
    </row>
    <row r="63" spans="3:11" s="41" customFormat="1" ht="12.75">
      <c r="C63" s="79" t="s">
        <v>106</v>
      </c>
      <c r="D63" s="88"/>
      <c r="E63" s="88"/>
      <c r="F63" s="88"/>
      <c r="G63" s="88"/>
      <c r="H63" s="88"/>
      <c r="I63" s="88"/>
      <c r="J63" s="82"/>
      <c r="K63" s="87"/>
    </row>
    <row r="64" spans="3:11" s="41" customFormat="1" ht="12.75">
      <c r="C64" s="79" t="s">
        <v>106</v>
      </c>
      <c r="D64" s="88"/>
      <c r="E64" s="88"/>
      <c r="F64" s="88"/>
      <c r="G64" s="88"/>
      <c r="H64" s="88"/>
      <c r="I64" s="88"/>
      <c r="J64" s="82"/>
      <c r="K64" s="87"/>
    </row>
    <row r="65" spans="3:11" s="41" customFormat="1" ht="12.75">
      <c r="C65" s="79" t="s">
        <v>106</v>
      </c>
      <c r="D65" s="88"/>
      <c r="E65" s="88"/>
      <c r="F65" s="88"/>
      <c r="G65" s="88"/>
      <c r="H65" s="88"/>
      <c r="I65" s="88"/>
      <c r="J65" s="82"/>
      <c r="K65" s="87"/>
    </row>
    <row r="66" spans="2:11" s="41" customFormat="1" ht="12.75">
      <c r="B66" s="259" t="s">
        <v>108</v>
      </c>
      <c r="C66" s="262"/>
      <c r="D66" s="91">
        <v>0</v>
      </c>
      <c r="E66" s="91">
        <v>0</v>
      </c>
      <c r="F66" s="91">
        <v>0</v>
      </c>
      <c r="G66" s="91">
        <v>0</v>
      </c>
      <c r="H66" s="91">
        <v>0</v>
      </c>
      <c r="I66" s="91">
        <v>0</v>
      </c>
      <c r="J66" s="92">
        <v>0</v>
      </c>
      <c r="K66" s="93" t="s">
        <v>109</v>
      </c>
    </row>
    <row r="67" spans="2:11" s="41" customFormat="1" ht="12.75">
      <c r="B67" s="259" t="s">
        <v>110</v>
      </c>
      <c r="C67" s="260"/>
      <c r="D67" s="94"/>
      <c r="E67" s="94"/>
      <c r="F67" s="94"/>
      <c r="G67" s="94"/>
      <c r="H67" s="94"/>
      <c r="I67" s="94"/>
      <c r="J67" s="92">
        <v>0</v>
      </c>
      <c r="K67" s="93" t="s">
        <v>109</v>
      </c>
    </row>
    <row r="68" spans="2:11" s="41" customFormat="1" ht="13.5" thickBot="1">
      <c r="B68" s="261" t="s">
        <v>111</v>
      </c>
      <c r="C68" s="261"/>
      <c r="D68" s="96">
        <v>0</v>
      </c>
      <c r="E68" s="96">
        <v>0</v>
      </c>
      <c r="F68" s="96">
        <v>0.13</v>
      </c>
      <c r="G68" s="96">
        <v>0.13</v>
      </c>
      <c r="H68" s="96">
        <v>0.13</v>
      </c>
      <c r="I68" s="96">
        <v>0</v>
      </c>
      <c r="J68" s="77"/>
      <c r="K68" s="77"/>
    </row>
    <row r="69" spans="3:11" s="41" customFormat="1" ht="12.75">
      <c r="C69" s="32"/>
      <c r="D69" s="32"/>
      <c r="E69" s="32"/>
      <c r="F69" s="32"/>
      <c r="G69" s="32"/>
      <c r="H69" s="32"/>
      <c r="I69" s="32"/>
      <c r="J69" s="97"/>
      <c r="K69" s="98"/>
    </row>
    <row r="70" spans="3:11" s="41" customFormat="1" ht="12.75">
      <c r="C70" s="32"/>
      <c r="D70" s="32"/>
      <c r="E70" s="32"/>
      <c r="F70" s="32"/>
      <c r="G70" s="32"/>
      <c r="H70" s="32"/>
      <c r="I70" s="32"/>
      <c r="J70" s="97"/>
      <c r="K70" s="98"/>
    </row>
    <row r="71" spans="3:11" s="41" customFormat="1" ht="12.75">
      <c r="C71" s="32"/>
      <c r="D71" s="32"/>
      <c r="E71" s="32"/>
      <c r="F71" s="32"/>
      <c r="G71" s="32"/>
      <c r="H71" s="32"/>
      <c r="I71" s="32"/>
      <c r="J71" s="97"/>
      <c r="K71" s="98"/>
    </row>
    <row r="72" spans="3:11" s="41" customFormat="1" ht="12.75">
      <c r="C72" s="32"/>
      <c r="D72" s="32"/>
      <c r="E72" s="32"/>
      <c r="F72" s="32"/>
      <c r="G72" s="32"/>
      <c r="H72" s="32"/>
      <c r="I72" s="32"/>
      <c r="J72" s="97"/>
      <c r="K72" s="98"/>
    </row>
    <row r="73" spans="3:11" s="41" customFormat="1" ht="12.75">
      <c r="C73" s="32"/>
      <c r="D73" s="32"/>
      <c r="E73" s="32"/>
      <c r="F73" s="32"/>
      <c r="G73" s="32"/>
      <c r="H73" s="32"/>
      <c r="I73" s="32"/>
      <c r="J73" s="97"/>
      <c r="K73" s="98"/>
    </row>
    <row r="74" spans="2:11" s="41" customFormat="1" ht="13.5" thickBot="1">
      <c r="B74" s="77" t="s">
        <v>112</v>
      </c>
      <c r="C74" s="77"/>
      <c r="D74" s="77"/>
      <c r="E74" s="77"/>
      <c r="F74" s="77"/>
      <c r="G74" s="77"/>
      <c r="H74" s="77"/>
      <c r="I74" s="77"/>
      <c r="J74" s="77"/>
      <c r="K74" s="77"/>
    </row>
    <row r="75" spans="4:9" s="41" customFormat="1" ht="12.75">
      <c r="D75" s="99"/>
      <c r="E75" s="100"/>
      <c r="F75" s="100"/>
      <c r="G75" s="101"/>
      <c r="H75" s="101"/>
      <c r="I75" s="101"/>
    </row>
    <row r="76" spans="2:11" s="41" customFormat="1" ht="12.75">
      <c r="B76" s="35" t="s">
        <v>86</v>
      </c>
      <c r="C76" s="35"/>
      <c r="D76" s="78" t="str">
        <f aca="true" t="shared" si="19" ref="D76:I76">D41</f>
        <v>Wheat</v>
      </c>
      <c r="E76" s="78" t="str">
        <f t="shared" si="19"/>
        <v>Soybeans</v>
      </c>
      <c r="F76" s="78" t="str">
        <f t="shared" si="19"/>
        <v>Milo</v>
      </c>
      <c r="G76" s="78">
        <f t="shared" si="19"/>
      </c>
      <c r="H76" s="78" t="str">
        <f t="shared" si="19"/>
        <v>Corn</v>
      </c>
      <c r="I76" s="78" t="str">
        <f t="shared" si="19"/>
        <v>Soybean</v>
      </c>
      <c r="J76" s="78" t="s">
        <v>87</v>
      </c>
      <c r="K76" s="35"/>
    </row>
    <row r="77" spans="2:11" s="41" customFormat="1" ht="12.75">
      <c r="B77" s="257" t="s">
        <v>113</v>
      </c>
      <c r="C77" s="257"/>
      <c r="D77" s="102">
        <v>9.1698</v>
      </c>
      <c r="E77" s="102">
        <v>9.44</v>
      </c>
      <c r="F77" s="102">
        <v>9.44</v>
      </c>
      <c r="G77" s="102">
        <v>9.44</v>
      </c>
      <c r="H77" s="102">
        <f>E77</f>
        <v>9.44</v>
      </c>
      <c r="I77" s="102">
        <f>F77</f>
        <v>9.44</v>
      </c>
      <c r="J77" s="32"/>
      <c r="K77" s="32"/>
    </row>
    <row r="78" spans="2:3" s="41" customFormat="1" ht="12.75">
      <c r="B78" s="258" t="s">
        <v>114</v>
      </c>
      <c r="C78" s="258"/>
    </row>
    <row r="79" spans="3:11" s="41" customFormat="1" ht="12.75">
      <c r="C79" s="79" t="s">
        <v>115</v>
      </c>
      <c r="D79" s="88">
        <v>1</v>
      </c>
      <c r="E79" s="103">
        <v>0</v>
      </c>
      <c r="F79" s="103">
        <v>0</v>
      </c>
      <c r="G79" s="103">
        <v>0</v>
      </c>
      <c r="H79" s="103">
        <f aca="true" t="shared" si="20" ref="H79:I82">E79</f>
        <v>0</v>
      </c>
      <c r="I79" s="103">
        <f t="shared" si="20"/>
        <v>0</v>
      </c>
      <c r="J79" s="104">
        <v>9.435</v>
      </c>
      <c r="K79" s="80" t="s">
        <v>116</v>
      </c>
    </row>
    <row r="80" spans="3:11" s="41" customFormat="1" ht="12.75">
      <c r="C80" s="79" t="s">
        <v>117</v>
      </c>
      <c r="D80" s="88">
        <v>1</v>
      </c>
      <c r="E80" s="103">
        <v>1</v>
      </c>
      <c r="F80" s="103">
        <v>0</v>
      </c>
      <c r="G80" s="103">
        <v>0</v>
      </c>
      <c r="H80" s="103">
        <f t="shared" si="20"/>
        <v>1</v>
      </c>
      <c r="I80" s="103">
        <f t="shared" si="20"/>
        <v>0</v>
      </c>
      <c r="J80" s="104">
        <v>6.8136</v>
      </c>
      <c r="K80" s="80" t="s">
        <v>116</v>
      </c>
    </row>
    <row r="81" spans="3:11" s="41" customFormat="1" ht="12.75">
      <c r="C81" s="79" t="s">
        <v>118</v>
      </c>
      <c r="D81" s="88">
        <v>1</v>
      </c>
      <c r="E81" s="103">
        <v>1</v>
      </c>
      <c r="F81" s="103">
        <v>0</v>
      </c>
      <c r="G81" s="103">
        <v>0</v>
      </c>
      <c r="H81" s="103">
        <f t="shared" si="20"/>
        <v>1</v>
      </c>
      <c r="I81" s="103">
        <f t="shared" si="20"/>
        <v>0</v>
      </c>
      <c r="J81" s="104">
        <v>6.2934</v>
      </c>
      <c r="K81" s="80" t="s">
        <v>116</v>
      </c>
    </row>
    <row r="82" spans="3:11" s="41" customFormat="1" ht="12.75">
      <c r="C82" s="79" t="s">
        <v>119</v>
      </c>
      <c r="D82" s="88">
        <v>0</v>
      </c>
      <c r="E82" s="103">
        <v>0</v>
      </c>
      <c r="F82" s="103">
        <v>0</v>
      </c>
      <c r="G82" s="103">
        <v>0</v>
      </c>
      <c r="H82" s="103">
        <f t="shared" si="20"/>
        <v>0</v>
      </c>
      <c r="I82" s="103">
        <f t="shared" si="20"/>
        <v>0</v>
      </c>
      <c r="J82" s="104">
        <v>6</v>
      </c>
      <c r="K82" s="80" t="s">
        <v>116</v>
      </c>
    </row>
    <row r="83" spans="3:11" s="41" customFormat="1" ht="12.75">
      <c r="C83" s="79" t="s">
        <v>120</v>
      </c>
      <c r="D83" s="88">
        <v>0</v>
      </c>
      <c r="E83" s="103">
        <v>0</v>
      </c>
      <c r="F83" s="103">
        <v>0</v>
      </c>
      <c r="G83" s="103">
        <v>1</v>
      </c>
      <c r="H83" s="103">
        <v>1</v>
      </c>
      <c r="I83" s="103">
        <v>0</v>
      </c>
      <c r="J83" s="104">
        <v>6.2934</v>
      </c>
      <c r="K83" s="80" t="s">
        <v>116</v>
      </c>
    </row>
    <row r="84" spans="3:11" s="41" customFormat="1" ht="12.75">
      <c r="C84" s="79" t="s">
        <v>121</v>
      </c>
      <c r="D84" s="88">
        <v>1</v>
      </c>
      <c r="E84" s="103">
        <v>0</v>
      </c>
      <c r="F84" s="103">
        <v>1</v>
      </c>
      <c r="G84" s="103">
        <v>1</v>
      </c>
      <c r="H84" s="103">
        <f aca="true" t="shared" si="21" ref="H84:I86">E84</f>
        <v>0</v>
      </c>
      <c r="I84" s="103">
        <f t="shared" si="21"/>
        <v>1</v>
      </c>
      <c r="J84" s="104">
        <v>3.876</v>
      </c>
      <c r="K84" s="80" t="s">
        <v>116</v>
      </c>
    </row>
    <row r="85" spans="3:11" s="41" customFormat="1" ht="12.75">
      <c r="C85" s="79" t="s">
        <v>122</v>
      </c>
      <c r="D85" s="88">
        <v>1</v>
      </c>
      <c r="E85" s="103">
        <v>1</v>
      </c>
      <c r="F85" s="103">
        <v>1</v>
      </c>
      <c r="G85" s="103">
        <v>2</v>
      </c>
      <c r="H85" s="103">
        <f t="shared" si="21"/>
        <v>1</v>
      </c>
      <c r="I85" s="103">
        <f t="shared" si="21"/>
        <v>1</v>
      </c>
      <c r="J85" s="104">
        <v>4.131</v>
      </c>
      <c r="K85" s="80" t="s">
        <v>116</v>
      </c>
    </row>
    <row r="86" spans="3:11" s="41" customFormat="1" ht="12.75">
      <c r="C86" s="79" t="s">
        <v>123</v>
      </c>
      <c r="D86" s="88">
        <v>0</v>
      </c>
      <c r="E86" s="103">
        <v>0</v>
      </c>
      <c r="F86" s="103">
        <v>0</v>
      </c>
      <c r="G86" s="103">
        <v>0</v>
      </c>
      <c r="H86" s="103">
        <f t="shared" si="21"/>
        <v>0</v>
      </c>
      <c r="I86" s="103">
        <f t="shared" si="21"/>
        <v>0</v>
      </c>
      <c r="J86" s="104">
        <v>4.2432</v>
      </c>
      <c r="K86" s="80" t="s">
        <v>116</v>
      </c>
    </row>
    <row r="87" spans="2:11" s="41" customFormat="1" ht="12.75">
      <c r="B87" s="258" t="s">
        <v>124</v>
      </c>
      <c r="C87" s="258"/>
      <c r="J87" s="105"/>
      <c r="K87" s="80"/>
    </row>
    <row r="88" spans="3:11" s="41" customFormat="1" ht="12.75">
      <c r="C88" s="41" t="s">
        <v>125</v>
      </c>
      <c r="D88" s="82">
        <v>16.014</v>
      </c>
      <c r="E88" s="82">
        <v>16.5</v>
      </c>
      <c r="F88" s="82">
        <v>16.5</v>
      </c>
      <c r="G88" s="82">
        <v>20.68</v>
      </c>
      <c r="H88" s="82">
        <v>20.68</v>
      </c>
      <c r="I88" s="82">
        <v>20.62</v>
      </c>
      <c r="J88" s="105"/>
      <c r="K88" s="80"/>
    </row>
    <row r="89" spans="3:11" s="41" customFormat="1" ht="12.75">
      <c r="C89" s="41" t="s">
        <v>126</v>
      </c>
      <c r="D89" s="106">
        <v>0.13566</v>
      </c>
      <c r="E89" s="106">
        <v>0.128</v>
      </c>
      <c r="F89" s="106">
        <v>0.124</v>
      </c>
      <c r="G89" s="106">
        <v>0.124</v>
      </c>
      <c r="H89" s="106">
        <v>0.124</v>
      </c>
      <c r="I89" s="106">
        <v>0.128</v>
      </c>
      <c r="K89" s="80"/>
    </row>
    <row r="90" spans="3:11" s="41" customFormat="1" ht="12.75">
      <c r="C90" s="41" t="s">
        <v>127</v>
      </c>
      <c r="D90" s="79">
        <v>0</v>
      </c>
      <c r="E90" s="79">
        <v>0</v>
      </c>
      <c r="F90" s="79">
        <v>0</v>
      </c>
      <c r="G90" s="79">
        <v>74</v>
      </c>
      <c r="H90" s="79">
        <v>74</v>
      </c>
      <c r="I90" s="79">
        <v>25</v>
      </c>
      <c r="J90" s="107"/>
      <c r="K90" s="80"/>
    </row>
    <row r="91" spans="3:11" s="41" customFormat="1" ht="12.75">
      <c r="C91" s="41" t="s">
        <v>128</v>
      </c>
      <c r="D91" s="106">
        <v>0.14076000000000002</v>
      </c>
      <c r="E91" s="106">
        <v>0.138</v>
      </c>
      <c r="F91" s="106">
        <v>0.135</v>
      </c>
      <c r="G91" s="106">
        <v>0.135</v>
      </c>
      <c r="H91" s="106">
        <v>0.135</v>
      </c>
      <c r="I91" s="106">
        <v>0.138</v>
      </c>
      <c r="J91" s="107"/>
      <c r="K91" s="80"/>
    </row>
    <row r="92" s="41" customFormat="1" ht="12.75">
      <c r="K92" s="80"/>
    </row>
    <row r="93" spans="2:11" s="41" customFormat="1" ht="12.75">
      <c r="B93" s="258" t="s">
        <v>129</v>
      </c>
      <c r="C93" s="258"/>
      <c r="D93" s="108">
        <v>1.5</v>
      </c>
      <c r="E93" s="108">
        <f>D93</f>
        <v>1.5</v>
      </c>
      <c r="F93" s="108">
        <f>E93</f>
        <v>1.5</v>
      </c>
      <c r="G93" s="108">
        <f>F93</f>
        <v>1.5</v>
      </c>
      <c r="H93" s="108">
        <f>E93</f>
        <v>1.5</v>
      </c>
      <c r="I93" s="108">
        <f>F93</f>
        <v>1.5</v>
      </c>
      <c r="J93" s="82">
        <v>10</v>
      </c>
      <c r="K93" s="80" t="s">
        <v>130</v>
      </c>
    </row>
    <row r="94" spans="2:11" s="41" customFormat="1" ht="12.75">
      <c r="B94" s="258" t="s">
        <v>131</v>
      </c>
      <c r="C94" s="258"/>
      <c r="D94" s="108">
        <v>0</v>
      </c>
      <c r="E94" s="108">
        <v>0</v>
      </c>
      <c r="F94" s="108">
        <v>0</v>
      </c>
      <c r="G94" s="108">
        <v>0</v>
      </c>
      <c r="H94" s="108">
        <f>E94</f>
        <v>0</v>
      </c>
      <c r="I94" s="108">
        <v>0</v>
      </c>
      <c r="J94" s="82">
        <v>10</v>
      </c>
      <c r="K94" s="80" t="s">
        <v>130</v>
      </c>
    </row>
    <row r="95" s="41" customFormat="1" ht="12.75"/>
    <row r="96" spans="2:10" s="41" customFormat="1" ht="12.75">
      <c r="B96" s="258" t="s">
        <v>132</v>
      </c>
      <c r="C96" s="258"/>
      <c r="D96" s="109">
        <v>650</v>
      </c>
      <c r="E96" s="109">
        <f>D96</f>
        <v>650</v>
      </c>
      <c r="F96" s="109">
        <f>E96</f>
        <v>650</v>
      </c>
      <c r="G96" s="109">
        <f>F96</f>
        <v>650</v>
      </c>
      <c r="H96" s="109">
        <f>F96</f>
        <v>650</v>
      </c>
      <c r="I96" s="109">
        <f>H96</f>
        <v>650</v>
      </c>
      <c r="J96" s="110">
        <v>0.06</v>
      </c>
    </row>
    <row r="97" spans="2:11" s="32" customFormat="1" ht="12.75">
      <c r="B97" s="259" t="s">
        <v>133</v>
      </c>
      <c r="C97" s="259"/>
      <c r="J97" s="111">
        <v>0.08</v>
      </c>
      <c r="K97" s="98"/>
    </row>
    <row r="98" spans="10:11" s="41" customFormat="1" ht="12.75">
      <c r="J98" s="107"/>
      <c r="K98" s="80"/>
    </row>
    <row r="99" spans="2:11" s="41" customFormat="1" ht="12.75">
      <c r="B99" s="258" t="s">
        <v>134</v>
      </c>
      <c r="C99" s="258"/>
      <c r="E99" s="112" t="s">
        <v>135</v>
      </c>
      <c r="F99" s="112"/>
      <c r="G99" s="43" t="s">
        <v>136</v>
      </c>
      <c r="H99" s="112"/>
      <c r="I99" s="112" t="s">
        <v>137</v>
      </c>
      <c r="K99" s="80"/>
    </row>
    <row r="100" spans="3:11" s="41" customFormat="1" ht="12.75">
      <c r="C100" s="41" t="s">
        <v>138</v>
      </c>
      <c r="E100" s="113" t="s">
        <v>139</v>
      </c>
      <c r="G100" s="114" t="s">
        <v>139</v>
      </c>
      <c r="I100" s="115" t="s">
        <v>139</v>
      </c>
      <c r="K100" s="80"/>
    </row>
    <row r="101" spans="3:11" s="41" customFormat="1" ht="12.75">
      <c r="C101" s="41" t="s">
        <v>140</v>
      </c>
      <c r="E101" s="113" t="s">
        <v>139</v>
      </c>
      <c r="G101" s="114" t="s">
        <v>139</v>
      </c>
      <c r="I101" s="115" t="s">
        <v>139</v>
      </c>
      <c r="K101" s="80"/>
    </row>
    <row r="102" spans="2:11" s="41" customFormat="1" ht="13.5" thickBot="1">
      <c r="B102" s="116"/>
      <c r="C102" s="77" t="s">
        <v>141</v>
      </c>
      <c r="D102" s="116"/>
      <c r="E102" s="117" t="s">
        <v>139</v>
      </c>
      <c r="F102" s="116"/>
      <c r="G102" s="118" t="s">
        <v>139</v>
      </c>
      <c r="H102" s="116"/>
      <c r="I102" s="119" t="s">
        <v>139</v>
      </c>
      <c r="J102" s="116"/>
      <c r="K102" s="120"/>
    </row>
    <row r="103" spans="10:11" s="41" customFormat="1" ht="12.75">
      <c r="J103" s="107"/>
      <c r="K103" s="80"/>
    </row>
    <row r="104" s="41" customFormat="1" ht="12.75">
      <c r="K104" s="80"/>
    </row>
    <row r="105" spans="10:11" s="41" customFormat="1" ht="12.75">
      <c r="J105" s="107"/>
      <c r="K105" s="80"/>
    </row>
    <row r="106" spans="10:11" s="41" customFormat="1" ht="12.75">
      <c r="J106" s="107"/>
      <c r="K106" s="80"/>
    </row>
    <row r="107" spans="10:11" s="41" customFormat="1" ht="12.75">
      <c r="J107" s="107"/>
      <c r="K107" s="80"/>
    </row>
    <row r="108" spans="10:11" s="41" customFormat="1" ht="12.75">
      <c r="J108" s="107"/>
      <c r="K108" s="80"/>
    </row>
    <row r="109" spans="2:11" s="41" customFormat="1" ht="12.75">
      <c r="B109" s="41" t="s">
        <v>142</v>
      </c>
      <c r="D109" s="121">
        <f aca="true" t="shared" si="22" ref="D109:I109">IF(D8=1,"",(SUM(D17:D22)+D24+D26+D27+D77+SUMPRODUCT(D79:D86,$J79:$J86)+D88)*(1+$J97/2)+D28)</f>
        <v>125.729816</v>
      </c>
      <c r="E109" s="121">
        <f t="shared" si="22"/>
        <v>117.55339330400001</v>
      </c>
      <c r="F109" s="121">
        <f t="shared" si="22"/>
        <v>143.99960000000002</v>
      </c>
      <c r="G109" s="121">
        <f t="shared" si="22"/>
      </c>
      <c r="H109" s="121">
        <f t="shared" si="22"/>
        <v>180.343856</v>
      </c>
      <c r="I109" s="121">
        <f t="shared" si="22"/>
        <v>124.34568000000002</v>
      </c>
      <c r="J109" s="76"/>
      <c r="K109" s="80"/>
    </row>
    <row r="110" spans="2:9" s="41" customFormat="1" ht="12.75">
      <c r="B110" s="41" t="s">
        <v>143</v>
      </c>
      <c r="D110" s="76">
        <f aca="true" t="shared" si="23" ref="D110:I110">IF(D8=1,"",(D9*(D68+D91)+IF(D9&gt;D90,(D9-D90)*D89,0))*(1+$J97/2))</f>
        <v>11.786548800000002</v>
      </c>
      <c r="E110" s="76">
        <f t="shared" si="23"/>
        <v>5.80944</v>
      </c>
      <c r="F110" s="76">
        <f t="shared" si="23"/>
        <v>33.17392</v>
      </c>
      <c r="G110" s="76">
        <f t="shared" si="23"/>
      </c>
      <c r="H110" s="76">
        <f t="shared" si="23"/>
        <v>27.67648</v>
      </c>
      <c r="I110" s="76">
        <f t="shared" si="23"/>
        <v>3.3009600000000003</v>
      </c>
    </row>
    <row r="111" spans="2:9" s="41" customFormat="1" ht="12.75">
      <c r="B111" s="41" t="s">
        <v>144</v>
      </c>
      <c r="D111" s="121">
        <f aca="true" t="shared" si="24" ref="D111:I111">IF(D8=1,"",D109+D110)</f>
        <v>137.5163648</v>
      </c>
      <c r="E111" s="121">
        <f t="shared" si="24"/>
        <v>123.362833304</v>
      </c>
      <c r="F111" s="121">
        <f t="shared" si="24"/>
        <v>177.17352000000002</v>
      </c>
      <c r="G111" s="121">
        <f t="shared" si="24"/>
      </c>
      <c r="H111" s="121">
        <f t="shared" si="24"/>
        <v>208.020336</v>
      </c>
      <c r="I111" s="121">
        <f t="shared" si="24"/>
        <v>127.64664000000002</v>
      </c>
    </row>
    <row r="112" s="41" customFormat="1" ht="12.75">
      <c r="K112" s="80"/>
    </row>
    <row r="113" spans="2:10" ht="12.75">
      <c r="B113" s="41" t="s">
        <v>145</v>
      </c>
      <c r="D113" s="41"/>
      <c r="E113" s="41"/>
      <c r="F113" s="41"/>
      <c r="G113" s="41"/>
      <c r="H113" s="41"/>
      <c r="I113" s="41"/>
      <c r="J113" s="107"/>
    </row>
    <row r="114" s="41" customFormat="1" ht="12.75">
      <c r="C114" s="56" t="s">
        <v>77</v>
      </c>
    </row>
    <row r="115" spans="3:10" s="41" customFormat="1" ht="12.75">
      <c r="C115" s="56" t="s">
        <v>146</v>
      </c>
      <c r="D115" s="58">
        <f aca="true" t="shared" si="25" ref="D115:I115">IF(D8=1,"",D94*$J94)</f>
        <v>0</v>
      </c>
      <c r="E115" s="58">
        <f t="shared" si="25"/>
        <v>0</v>
      </c>
      <c r="F115" s="58">
        <f t="shared" si="25"/>
        <v>0</v>
      </c>
      <c r="G115" s="58">
        <f t="shared" si="25"/>
      </c>
      <c r="H115" s="58">
        <f t="shared" si="25"/>
        <v>0</v>
      </c>
      <c r="I115" s="58">
        <f t="shared" si="25"/>
        <v>0</v>
      </c>
      <c r="J115" s="49"/>
    </row>
    <row r="116" spans="2:10" s="41" customFormat="1" ht="12.75">
      <c r="B116" s="27"/>
      <c r="C116" s="56" t="s">
        <v>147</v>
      </c>
      <c r="D116" s="58">
        <f aca="true" t="shared" si="26" ref="D116:I116">IF(D8=1,"",D66*$J66)</f>
        <v>0</v>
      </c>
      <c r="E116" s="58">
        <f t="shared" si="26"/>
        <v>0</v>
      </c>
      <c r="F116" s="58">
        <f t="shared" si="26"/>
        <v>0</v>
      </c>
      <c r="G116" s="58">
        <f t="shared" si="26"/>
      </c>
      <c r="H116" s="58">
        <f t="shared" si="26"/>
        <v>0</v>
      </c>
      <c r="I116" s="58">
        <f t="shared" si="26"/>
        <v>0</v>
      </c>
      <c r="J116" s="49"/>
    </row>
    <row r="117" spans="3:10" s="41" customFormat="1" ht="12.75">
      <c r="C117" s="56" t="s">
        <v>148</v>
      </c>
      <c r="D117" s="58">
        <f aca="true" t="shared" si="27" ref="D117:I117">IF(D8=1,"",D66*$J67)</f>
        <v>0</v>
      </c>
      <c r="E117" s="58">
        <f t="shared" si="27"/>
        <v>0</v>
      </c>
      <c r="F117" s="58">
        <f t="shared" si="27"/>
        <v>0</v>
      </c>
      <c r="G117" s="58">
        <f t="shared" si="27"/>
      </c>
      <c r="H117" s="58">
        <f t="shared" si="27"/>
        <v>0</v>
      </c>
      <c r="I117" s="58">
        <f t="shared" si="27"/>
        <v>0</v>
      </c>
      <c r="J117" s="49"/>
    </row>
    <row r="118" spans="3:10" s="41" customFormat="1" ht="12.75">
      <c r="C118" s="56" t="s">
        <v>149</v>
      </c>
      <c r="D118" s="122">
        <f aca="true" t="shared" si="28" ref="D118:I118">IF(D8=1,"",IF(SUM($E100:$E102)=0,0,IF(D66=0,0,$E100*(1-$I100)/$G100+$E101*(1-$I101)/$G101+$E102*(1-$I102)/$G102)))</f>
        <v>0</v>
      </c>
      <c r="E118" s="122">
        <f t="shared" si="28"/>
        <v>0</v>
      </c>
      <c r="F118" s="122">
        <f t="shared" si="28"/>
        <v>0</v>
      </c>
      <c r="G118" s="122">
        <f t="shared" si="28"/>
      </c>
      <c r="H118" s="122">
        <f t="shared" si="28"/>
        <v>0</v>
      </c>
      <c r="I118" s="122">
        <f t="shared" si="28"/>
        <v>0</v>
      </c>
      <c r="J118" s="49"/>
    </row>
    <row r="119" spans="3:10" s="41" customFormat="1" ht="12.75">
      <c r="C119" s="56" t="s">
        <v>150</v>
      </c>
      <c r="D119" s="123">
        <f aca="true" t="shared" si="29" ref="D119:I119">IF(D8=1,"",IF(D66=0,0,($E100*(1+$I100)/2+$E101*(1+$I101)/2+$E102*(1+$I102)/2)*$J97))</f>
        <v>0</v>
      </c>
      <c r="E119" s="123">
        <f t="shared" si="29"/>
        <v>0</v>
      </c>
      <c r="F119" s="123">
        <f t="shared" si="29"/>
        <v>0</v>
      </c>
      <c r="G119" s="123">
        <f t="shared" si="29"/>
      </c>
      <c r="H119" s="123">
        <f t="shared" si="29"/>
        <v>0</v>
      </c>
      <c r="I119" s="123">
        <f t="shared" si="29"/>
        <v>0</v>
      </c>
      <c r="J119" s="49"/>
    </row>
    <row r="120" spans="3:9" s="41" customFormat="1" ht="12.75">
      <c r="C120" s="41" t="s">
        <v>151</v>
      </c>
      <c r="D120" s="124">
        <f aca="true" t="shared" si="30" ref="D120:I120">SUM(D115:D119)</f>
        <v>0</v>
      </c>
      <c r="E120" s="124">
        <f t="shared" si="30"/>
        <v>0</v>
      </c>
      <c r="F120" s="124">
        <f t="shared" si="30"/>
        <v>0</v>
      </c>
      <c r="G120" s="124">
        <f t="shared" si="30"/>
        <v>0</v>
      </c>
      <c r="H120" s="124">
        <f t="shared" si="30"/>
        <v>0</v>
      </c>
      <c r="I120" s="124">
        <f t="shared" si="30"/>
        <v>0</v>
      </c>
    </row>
    <row r="121" s="41" customFormat="1" ht="12.75"/>
    <row r="122" s="41" customFormat="1" ht="12.75"/>
    <row r="123" s="41" customFormat="1" ht="12.75"/>
    <row r="124" s="41" customFormat="1" ht="12.75"/>
    <row r="125" s="41" customFormat="1" ht="12.75"/>
    <row r="126" s="41" customFormat="1" ht="12.75"/>
    <row r="127" s="41" customFormat="1" ht="12.75"/>
    <row r="128" s="41" customFormat="1" ht="12.75"/>
    <row r="129" s="41" customFormat="1" ht="12.75"/>
    <row r="130" s="41" customFormat="1" ht="12.75"/>
    <row r="131" s="41" customFormat="1" ht="12.75"/>
    <row r="132" s="41" customFormat="1" ht="12.75"/>
    <row r="133" s="41" customFormat="1" ht="12.75"/>
    <row r="134" s="41" customFormat="1" ht="12.75"/>
    <row r="135" s="41" customFormat="1" ht="12.75"/>
    <row r="136" s="41" customFormat="1" ht="12.75"/>
    <row r="137" s="41" customFormat="1" ht="12.75"/>
    <row r="138" s="41" customFormat="1" ht="12.75"/>
    <row r="139" s="41" customFormat="1" ht="12.75"/>
    <row r="140" s="41" customFormat="1" ht="12.75"/>
    <row r="141" s="41" customFormat="1" ht="12.75"/>
    <row r="142" s="41" customFormat="1" ht="12.75"/>
    <row r="143" s="41" customFormat="1" ht="12.75"/>
    <row r="144" spans="2:10" s="41" customFormat="1" ht="12.75">
      <c r="B144" s="41" t="s">
        <v>152</v>
      </c>
      <c r="D144" s="125" t="str">
        <f aca="true" t="shared" si="31" ref="D144:I145">D4</f>
        <v>Wheat</v>
      </c>
      <c r="E144" s="125" t="str">
        <f t="shared" si="31"/>
        <v>Soybeans</v>
      </c>
      <c r="F144" s="125" t="str">
        <f t="shared" si="31"/>
        <v>Milo</v>
      </c>
      <c r="G144" s="125">
        <f t="shared" si="31"/>
        <v>0</v>
      </c>
      <c r="H144" s="125" t="str">
        <f t="shared" si="31"/>
        <v>Corn</v>
      </c>
      <c r="I144" s="125" t="str">
        <f t="shared" si="31"/>
        <v>Soybean</v>
      </c>
      <c r="J144" s="126" t="s">
        <v>151</v>
      </c>
    </row>
    <row r="145" spans="2:9" s="41" customFormat="1" ht="12.75">
      <c r="B145" s="34" t="s">
        <v>56</v>
      </c>
      <c r="D145" s="41">
        <f t="shared" si="31"/>
        <v>1</v>
      </c>
      <c r="E145" s="41">
        <f t="shared" si="31"/>
        <v>1</v>
      </c>
      <c r="F145" s="41">
        <f t="shared" si="31"/>
        <v>1</v>
      </c>
      <c r="G145" s="41">
        <f t="shared" si="31"/>
        <v>0</v>
      </c>
      <c r="H145" s="41">
        <f t="shared" si="31"/>
        <v>2</v>
      </c>
      <c r="I145" s="41">
        <f t="shared" si="31"/>
        <v>2</v>
      </c>
    </row>
    <row r="146" s="41" customFormat="1" ht="12.75"/>
    <row r="147" s="41" customFormat="1" ht="12.75">
      <c r="B147" s="41" t="s">
        <v>153</v>
      </c>
    </row>
    <row r="148" spans="2:10" s="41" customFormat="1" ht="12.75">
      <c r="B148" s="32" t="s">
        <v>57</v>
      </c>
      <c r="D148" s="127">
        <f aca="true" t="shared" si="32" ref="D148:I148">IF(D5=1,D6,0)</f>
        <v>0.5</v>
      </c>
      <c r="E148" s="127">
        <f t="shared" si="32"/>
        <v>0.2</v>
      </c>
      <c r="F148" s="127">
        <f t="shared" si="32"/>
        <v>0.3</v>
      </c>
      <c r="G148" s="127">
        <f t="shared" si="32"/>
        <v>0</v>
      </c>
      <c r="H148" s="127">
        <f t="shared" si="32"/>
        <v>0</v>
      </c>
      <c r="I148" s="127">
        <f t="shared" si="32"/>
        <v>0</v>
      </c>
      <c r="J148" s="128">
        <f>SUM(D148:I148)</f>
        <v>1</v>
      </c>
    </row>
    <row r="149" spans="2:10" s="41" customFormat="1" ht="12.75">
      <c r="B149" s="32"/>
      <c r="D149" s="127"/>
      <c r="E149" s="127"/>
      <c r="F149" s="127"/>
      <c r="G149" s="127"/>
      <c r="H149" s="127"/>
      <c r="I149" s="127"/>
      <c r="J149" s="128"/>
    </row>
    <row r="150" spans="2:10" s="41" customFormat="1" ht="12.75">
      <c r="B150" s="41" t="s">
        <v>58</v>
      </c>
      <c r="D150" s="127"/>
      <c r="E150" s="127"/>
      <c r="F150" s="127"/>
      <c r="G150" s="127"/>
      <c r="H150" s="127"/>
      <c r="I150" s="127"/>
      <c r="J150" s="128"/>
    </row>
    <row r="151" spans="2:10" s="41" customFormat="1" ht="12.75">
      <c r="B151" s="41" t="s">
        <v>154</v>
      </c>
      <c r="D151" s="129">
        <f aca="true" t="shared" si="33" ref="D151:I154">D11*D$148</f>
        <v>0</v>
      </c>
      <c r="E151" s="129">
        <f t="shared" si="33"/>
        <v>0</v>
      </c>
      <c r="F151" s="129">
        <f t="shared" si="33"/>
        <v>0</v>
      </c>
      <c r="G151" s="129">
        <f t="shared" si="33"/>
        <v>0</v>
      </c>
      <c r="H151" s="129">
        <f t="shared" si="33"/>
        <v>0</v>
      </c>
      <c r="I151" s="129">
        <f t="shared" si="33"/>
        <v>0</v>
      </c>
      <c r="J151" s="129">
        <f>SUM(D151:I151)</f>
        <v>0</v>
      </c>
    </row>
    <row r="152" spans="2:10" s="41" customFormat="1" ht="12.75">
      <c r="B152" s="41" t="s">
        <v>63</v>
      </c>
      <c r="D152" s="129">
        <f t="shared" si="33"/>
        <v>0</v>
      </c>
      <c r="E152" s="129">
        <f t="shared" si="33"/>
        <v>3.45</v>
      </c>
      <c r="F152" s="129">
        <f t="shared" si="33"/>
        <v>0</v>
      </c>
      <c r="G152" s="129">
        <f t="shared" si="33"/>
        <v>0</v>
      </c>
      <c r="H152" s="129">
        <f t="shared" si="33"/>
        <v>0</v>
      </c>
      <c r="I152" s="129">
        <f t="shared" si="33"/>
        <v>0</v>
      </c>
      <c r="J152" s="129">
        <f>SUM(D152:I152)</f>
        <v>3.45</v>
      </c>
    </row>
    <row r="153" spans="2:10" s="41" customFormat="1" ht="12.75">
      <c r="B153" s="41" t="s">
        <v>64</v>
      </c>
      <c r="D153" s="129">
        <f t="shared" si="33"/>
        <v>0</v>
      </c>
      <c r="E153" s="129">
        <f t="shared" si="33"/>
        <v>0</v>
      </c>
      <c r="F153" s="129">
        <f t="shared" si="33"/>
        <v>0</v>
      </c>
      <c r="G153" s="129">
        <f t="shared" si="33"/>
        <v>0</v>
      </c>
      <c r="H153" s="129">
        <f t="shared" si="33"/>
        <v>0</v>
      </c>
      <c r="I153" s="129">
        <f t="shared" si="33"/>
        <v>0</v>
      </c>
      <c r="J153" s="129">
        <f>SUM(D153:I153)</f>
        <v>0</v>
      </c>
    </row>
    <row r="154" spans="2:10" s="41" customFormat="1" ht="12.75">
      <c r="B154" s="32" t="s">
        <v>65</v>
      </c>
      <c r="D154" s="129">
        <f t="shared" si="33"/>
        <v>82</v>
      </c>
      <c r="E154" s="129">
        <f t="shared" si="33"/>
        <v>27.6</v>
      </c>
      <c r="F154" s="129">
        <f t="shared" si="33"/>
        <v>54.12</v>
      </c>
      <c r="G154" s="129">
        <f t="shared" si="33"/>
        <v>0</v>
      </c>
      <c r="H154" s="129">
        <f t="shared" si="33"/>
        <v>0</v>
      </c>
      <c r="I154" s="129">
        <f t="shared" si="33"/>
        <v>0</v>
      </c>
      <c r="J154" s="129">
        <f>SUM(D154:I154)</f>
        <v>163.72</v>
      </c>
    </row>
    <row r="155" spans="2:10" s="41" customFormat="1" ht="12.75">
      <c r="B155" s="32"/>
      <c r="D155" s="129"/>
      <c r="E155" s="129"/>
      <c r="F155" s="129"/>
      <c r="G155" s="129"/>
      <c r="H155" s="129"/>
      <c r="I155" s="129"/>
      <c r="J155" s="130"/>
    </row>
    <row r="156" spans="2:10" s="41" customFormat="1" ht="12.75">
      <c r="B156" s="41" t="s">
        <v>66</v>
      </c>
      <c r="D156" s="129"/>
      <c r="E156" s="129"/>
      <c r="F156" s="129"/>
      <c r="G156" s="129"/>
      <c r="H156" s="129"/>
      <c r="I156" s="129"/>
      <c r="J156" s="130"/>
    </row>
    <row r="157" spans="2:10" s="41" customFormat="1" ht="12.75">
      <c r="B157" s="27"/>
      <c r="C157" s="56" t="s">
        <v>67</v>
      </c>
      <c r="D157" s="129">
        <f aca="true" t="shared" si="34" ref="D157:I166">D17*D$148</f>
        <v>3.6</v>
      </c>
      <c r="E157" s="129">
        <f t="shared" si="34"/>
        <v>6.01959102</v>
      </c>
      <c r="F157" s="129">
        <f t="shared" si="34"/>
        <v>3.5999999999999996</v>
      </c>
      <c r="G157" s="129">
        <f t="shared" si="34"/>
        <v>0</v>
      </c>
      <c r="H157" s="129">
        <f t="shared" si="34"/>
        <v>0</v>
      </c>
      <c r="I157" s="129">
        <f t="shared" si="34"/>
        <v>0</v>
      </c>
      <c r="J157" s="129">
        <f aca="true" t="shared" si="35" ref="J157:J172">SUM(D157:I157)</f>
        <v>13.21959102</v>
      </c>
    </row>
    <row r="158" spans="2:10" s="41" customFormat="1" ht="12.75">
      <c r="B158" s="27"/>
      <c r="C158" s="56" t="s">
        <v>68</v>
      </c>
      <c r="D158" s="131">
        <f t="shared" si="34"/>
        <v>2.38755</v>
      </c>
      <c r="E158" s="131">
        <f t="shared" si="34"/>
        <v>2.182</v>
      </c>
      <c r="F158" s="131">
        <f t="shared" si="34"/>
        <v>9.294</v>
      </c>
      <c r="G158" s="131">
        <f t="shared" si="34"/>
        <v>0</v>
      </c>
      <c r="H158" s="131">
        <f t="shared" si="34"/>
        <v>0</v>
      </c>
      <c r="I158" s="131">
        <f t="shared" si="34"/>
        <v>0</v>
      </c>
      <c r="J158" s="131">
        <f t="shared" si="35"/>
        <v>13.86355</v>
      </c>
    </row>
    <row r="159" spans="2:10" s="41" customFormat="1" ht="12.75">
      <c r="B159" s="27"/>
      <c r="C159" s="56" t="s">
        <v>69</v>
      </c>
      <c r="D159" s="131">
        <f t="shared" si="34"/>
        <v>0</v>
      </c>
      <c r="E159" s="131">
        <f t="shared" si="34"/>
        <v>0</v>
      </c>
      <c r="F159" s="131">
        <f t="shared" si="34"/>
        <v>0</v>
      </c>
      <c r="G159" s="131">
        <f t="shared" si="34"/>
        <v>0</v>
      </c>
      <c r="H159" s="131">
        <f t="shared" si="34"/>
        <v>0</v>
      </c>
      <c r="I159" s="131">
        <f t="shared" si="34"/>
        <v>0</v>
      </c>
      <c r="J159" s="131">
        <f t="shared" si="35"/>
        <v>0</v>
      </c>
    </row>
    <row r="160" spans="2:10" s="41" customFormat="1" ht="12.75">
      <c r="B160" s="27"/>
      <c r="C160" s="56" t="s">
        <v>70</v>
      </c>
      <c r="D160" s="131">
        <f t="shared" si="34"/>
        <v>12.92</v>
      </c>
      <c r="E160" s="131">
        <f t="shared" si="34"/>
        <v>0</v>
      </c>
      <c r="F160" s="131">
        <f t="shared" si="34"/>
        <v>9.8064</v>
      </c>
      <c r="G160" s="131">
        <f t="shared" si="34"/>
        <v>0</v>
      </c>
      <c r="H160" s="131">
        <f t="shared" si="34"/>
        <v>0</v>
      </c>
      <c r="I160" s="131">
        <f t="shared" si="34"/>
        <v>0</v>
      </c>
      <c r="J160" s="131">
        <f t="shared" si="35"/>
        <v>22.726399999999998</v>
      </c>
    </row>
    <row r="161" spans="2:10" s="41" customFormat="1" ht="12.75">
      <c r="B161" s="27"/>
      <c r="C161" s="56" t="s">
        <v>71</v>
      </c>
      <c r="D161" s="131">
        <f t="shared" si="34"/>
        <v>0</v>
      </c>
      <c r="E161" s="131">
        <f t="shared" si="34"/>
        <v>0</v>
      </c>
      <c r="F161" s="131">
        <f t="shared" si="34"/>
        <v>0</v>
      </c>
      <c r="G161" s="131">
        <f t="shared" si="34"/>
        <v>0</v>
      </c>
      <c r="H161" s="131">
        <f t="shared" si="34"/>
        <v>0</v>
      </c>
      <c r="I161" s="131">
        <f t="shared" si="34"/>
        <v>0</v>
      </c>
      <c r="J161" s="131">
        <f t="shared" si="35"/>
        <v>0</v>
      </c>
    </row>
    <row r="162" spans="2:10" s="41" customFormat="1" ht="12.75">
      <c r="B162" s="27"/>
      <c r="C162" s="56" t="s">
        <v>72</v>
      </c>
      <c r="D162" s="131">
        <f t="shared" si="34"/>
        <v>1.75</v>
      </c>
      <c r="E162" s="131">
        <f t="shared" si="34"/>
        <v>1</v>
      </c>
      <c r="F162" s="131">
        <f t="shared" si="34"/>
        <v>1.5</v>
      </c>
      <c r="G162" s="131">
        <f t="shared" si="34"/>
        <v>0</v>
      </c>
      <c r="H162" s="131">
        <f t="shared" si="34"/>
        <v>0</v>
      </c>
      <c r="I162" s="131">
        <f t="shared" si="34"/>
        <v>0</v>
      </c>
      <c r="J162" s="131">
        <f t="shared" si="35"/>
        <v>4.25</v>
      </c>
    </row>
    <row r="163" spans="2:10" s="41" customFormat="1" ht="12.75">
      <c r="B163" s="27"/>
      <c r="C163" s="56" t="s">
        <v>73</v>
      </c>
      <c r="D163" s="131">
        <f t="shared" si="34"/>
        <v>0</v>
      </c>
      <c r="E163" s="131">
        <f t="shared" si="34"/>
        <v>0</v>
      </c>
      <c r="F163" s="131">
        <f t="shared" si="34"/>
        <v>3.198</v>
      </c>
      <c r="G163" s="131">
        <f t="shared" si="34"/>
        <v>0</v>
      </c>
      <c r="H163" s="131">
        <f t="shared" si="34"/>
        <v>0</v>
      </c>
      <c r="I163" s="131">
        <f t="shared" si="34"/>
        <v>0</v>
      </c>
      <c r="J163" s="131">
        <f t="shared" si="35"/>
        <v>3.198</v>
      </c>
    </row>
    <row r="164" spans="2:10" s="41" customFormat="1" ht="12.75">
      <c r="B164" s="27"/>
      <c r="C164" s="41" t="s">
        <v>74</v>
      </c>
      <c r="D164" s="131">
        <f t="shared" si="34"/>
        <v>2.5</v>
      </c>
      <c r="E164" s="131">
        <f t="shared" si="34"/>
        <v>1</v>
      </c>
      <c r="F164" s="131">
        <f t="shared" si="34"/>
        <v>1.5</v>
      </c>
      <c r="G164" s="131">
        <f t="shared" si="34"/>
        <v>0</v>
      </c>
      <c r="H164" s="131">
        <f t="shared" si="34"/>
        <v>0</v>
      </c>
      <c r="I164" s="131">
        <f t="shared" si="34"/>
        <v>0</v>
      </c>
      <c r="J164" s="131">
        <f t="shared" si="35"/>
        <v>5</v>
      </c>
    </row>
    <row r="165" spans="2:10" s="41" customFormat="1" ht="12.75">
      <c r="B165" s="27"/>
      <c r="C165" s="56" t="s">
        <v>75</v>
      </c>
      <c r="D165" s="131">
        <f t="shared" si="34"/>
        <v>33.53301</v>
      </c>
      <c r="E165" s="131">
        <f t="shared" si="34"/>
        <v>9.7528</v>
      </c>
      <c r="F165" s="131">
        <f t="shared" si="34"/>
        <v>16.5555</v>
      </c>
      <c r="G165" s="131">
        <f t="shared" si="34"/>
        <v>0</v>
      </c>
      <c r="H165" s="131">
        <f t="shared" si="34"/>
        <v>0</v>
      </c>
      <c r="I165" s="131">
        <f t="shared" si="34"/>
        <v>0</v>
      </c>
      <c r="J165" s="131">
        <f t="shared" si="35"/>
        <v>59.84130999999999</v>
      </c>
    </row>
    <row r="166" spans="2:10" s="41" customFormat="1" ht="12.75">
      <c r="B166" s="27"/>
      <c r="C166" s="56" t="s">
        <v>76</v>
      </c>
      <c r="D166" s="131">
        <f t="shared" si="34"/>
        <v>7.5</v>
      </c>
      <c r="E166" s="131">
        <f t="shared" si="34"/>
        <v>3</v>
      </c>
      <c r="F166" s="131">
        <f t="shared" si="34"/>
        <v>4.5</v>
      </c>
      <c r="G166" s="131">
        <f t="shared" si="34"/>
        <v>0</v>
      </c>
      <c r="H166" s="131">
        <f t="shared" si="34"/>
        <v>0</v>
      </c>
      <c r="I166" s="131">
        <f t="shared" si="34"/>
        <v>0</v>
      </c>
      <c r="J166" s="131">
        <f t="shared" si="35"/>
        <v>15</v>
      </c>
    </row>
    <row r="167" spans="2:10" s="41" customFormat="1" ht="12.75">
      <c r="B167" s="27"/>
      <c r="C167" s="56" t="s">
        <v>77</v>
      </c>
      <c r="D167" s="131">
        <f aca="true" t="shared" si="36" ref="D167:I172">D27*D$148</f>
        <v>0</v>
      </c>
      <c r="E167" s="131">
        <f t="shared" si="36"/>
        <v>0</v>
      </c>
      <c r="F167" s="131">
        <f t="shared" si="36"/>
        <v>0</v>
      </c>
      <c r="G167" s="131">
        <f t="shared" si="36"/>
        <v>0</v>
      </c>
      <c r="H167" s="131">
        <f t="shared" si="36"/>
        <v>0</v>
      </c>
      <c r="I167" s="131">
        <f t="shared" si="36"/>
        <v>0</v>
      </c>
      <c r="J167" s="131">
        <f t="shared" si="35"/>
        <v>0</v>
      </c>
    </row>
    <row r="168" spans="2:10" s="41" customFormat="1" ht="12.75">
      <c r="B168" s="27"/>
      <c r="C168" s="41" t="s">
        <v>78</v>
      </c>
      <c r="D168" s="131">
        <f t="shared" si="36"/>
        <v>2</v>
      </c>
      <c r="E168" s="131">
        <f t="shared" si="36"/>
        <v>0.8</v>
      </c>
      <c r="F168" s="131">
        <f t="shared" si="36"/>
        <v>1.2</v>
      </c>
      <c r="G168" s="131">
        <f t="shared" si="36"/>
        <v>0</v>
      </c>
      <c r="H168" s="131">
        <f t="shared" si="36"/>
        <v>0</v>
      </c>
      <c r="I168" s="131">
        <f t="shared" si="36"/>
        <v>0</v>
      </c>
      <c r="J168" s="131">
        <f t="shared" si="35"/>
        <v>4</v>
      </c>
    </row>
    <row r="169" spans="2:10" s="41" customFormat="1" ht="12.75">
      <c r="B169" s="41" t="s">
        <v>79</v>
      </c>
      <c r="D169" s="129">
        <f t="shared" si="36"/>
        <v>66.19056</v>
      </c>
      <c r="E169" s="129">
        <f t="shared" si="36"/>
        <v>23.754391020000003</v>
      </c>
      <c r="F169" s="129">
        <f t="shared" si="36"/>
        <v>51.1539</v>
      </c>
      <c r="G169" s="129">
        <f t="shared" si="36"/>
        <v>0</v>
      </c>
      <c r="H169" s="129">
        <f t="shared" si="36"/>
        <v>0</v>
      </c>
      <c r="I169" s="129">
        <f t="shared" si="36"/>
        <v>0</v>
      </c>
      <c r="J169" s="129">
        <f t="shared" si="35"/>
        <v>141.09885102</v>
      </c>
    </row>
    <row r="170" spans="2:10" s="41" customFormat="1" ht="12.75">
      <c r="B170" s="27"/>
      <c r="C170" s="41" t="s">
        <v>80</v>
      </c>
      <c r="D170" s="131">
        <f t="shared" si="36"/>
        <v>2.5676224000000003</v>
      </c>
      <c r="E170" s="131">
        <f t="shared" si="36"/>
        <v>0.9181756408000002</v>
      </c>
      <c r="F170" s="131">
        <f t="shared" si="36"/>
        <v>1.8702360000000002</v>
      </c>
      <c r="G170" s="131">
        <f t="shared" si="36"/>
        <v>0</v>
      </c>
      <c r="H170" s="131">
        <f t="shared" si="36"/>
        <v>0</v>
      </c>
      <c r="I170" s="131">
        <f t="shared" si="36"/>
        <v>0</v>
      </c>
      <c r="J170" s="131">
        <f t="shared" si="35"/>
        <v>5.356034040800001</v>
      </c>
    </row>
    <row r="171" spans="2:10" s="41" customFormat="1" ht="12.75">
      <c r="B171" s="35" t="s">
        <v>81</v>
      </c>
      <c r="C171" s="35"/>
      <c r="D171" s="132">
        <f t="shared" si="36"/>
        <v>68.75818240000001</v>
      </c>
      <c r="E171" s="132">
        <f t="shared" si="36"/>
        <v>24.672566660800005</v>
      </c>
      <c r="F171" s="132">
        <f t="shared" si="36"/>
        <v>53.024136</v>
      </c>
      <c r="G171" s="132">
        <f t="shared" si="36"/>
        <v>0</v>
      </c>
      <c r="H171" s="132">
        <f t="shared" si="36"/>
        <v>0</v>
      </c>
      <c r="I171" s="132">
        <f t="shared" si="36"/>
        <v>0</v>
      </c>
      <c r="J171" s="132">
        <f t="shared" si="35"/>
        <v>146.4548850608</v>
      </c>
    </row>
    <row r="172" spans="2:10" s="41" customFormat="1" ht="12.75">
      <c r="B172" s="32" t="s">
        <v>82</v>
      </c>
      <c r="D172" s="129">
        <f t="shared" si="36"/>
        <v>13.24181759999999</v>
      </c>
      <c r="E172" s="129">
        <f t="shared" si="36"/>
        <v>2.9274333391999963</v>
      </c>
      <c r="F172" s="129">
        <f t="shared" si="36"/>
        <v>1.095864000000003</v>
      </c>
      <c r="G172" s="129">
        <f t="shared" si="36"/>
        <v>0</v>
      </c>
      <c r="H172" s="129">
        <f t="shared" si="36"/>
        <v>0</v>
      </c>
      <c r="I172" s="129">
        <f t="shared" si="36"/>
        <v>0</v>
      </c>
      <c r="J172" s="129">
        <f t="shared" si="35"/>
        <v>17.26511493919999</v>
      </c>
    </row>
    <row r="173" s="41" customFormat="1" ht="12.75"/>
    <row r="174" s="41" customFormat="1" ht="12.75"/>
    <row r="175" s="41" customFormat="1" ht="12.75"/>
    <row r="176" s="41" customFormat="1" ht="12.75"/>
    <row r="177" s="41" customFormat="1" ht="12.75"/>
    <row r="178" s="41" customFormat="1" ht="12.75"/>
    <row r="179" spans="2:10" s="41" customFormat="1" ht="12.75">
      <c r="B179" s="41" t="s">
        <v>152</v>
      </c>
      <c r="D179" s="125" t="str">
        <f aca="true" t="shared" si="37" ref="D179:I180">D4</f>
        <v>Wheat</v>
      </c>
      <c r="E179" s="125" t="str">
        <f t="shared" si="37"/>
        <v>Soybeans</v>
      </c>
      <c r="F179" s="125" t="str">
        <f t="shared" si="37"/>
        <v>Milo</v>
      </c>
      <c r="G179" s="125">
        <f t="shared" si="37"/>
        <v>0</v>
      </c>
      <c r="H179" s="125" t="str">
        <f t="shared" si="37"/>
        <v>Corn</v>
      </c>
      <c r="I179" s="125" t="str">
        <f t="shared" si="37"/>
        <v>Soybean</v>
      </c>
      <c r="J179" s="126" t="s">
        <v>151</v>
      </c>
    </row>
    <row r="180" spans="2:9" s="41" customFormat="1" ht="12.75">
      <c r="B180" s="34" t="s">
        <v>56</v>
      </c>
      <c r="D180" s="41">
        <f t="shared" si="37"/>
        <v>1</v>
      </c>
      <c r="E180" s="41">
        <f t="shared" si="37"/>
        <v>1</v>
      </c>
      <c r="F180" s="41">
        <f t="shared" si="37"/>
        <v>1</v>
      </c>
      <c r="G180" s="41">
        <f t="shared" si="37"/>
        <v>0</v>
      </c>
      <c r="H180" s="41">
        <f t="shared" si="37"/>
        <v>2</v>
      </c>
      <c r="I180" s="41">
        <f t="shared" si="37"/>
        <v>2</v>
      </c>
    </row>
    <row r="181" s="41" customFormat="1" ht="12.75"/>
    <row r="182" s="41" customFormat="1" ht="12.75">
      <c r="B182" s="41" t="s">
        <v>233</v>
      </c>
    </row>
    <row r="183" spans="2:10" s="41" customFormat="1" ht="12.75">
      <c r="B183" s="32" t="s">
        <v>57</v>
      </c>
      <c r="D183" s="127">
        <f aca="true" t="shared" si="38" ref="D183:I183">IF(D5=2,D6,0)</f>
        <v>0</v>
      </c>
      <c r="E183" s="127">
        <f t="shared" si="38"/>
        <v>0</v>
      </c>
      <c r="F183" s="127">
        <f t="shared" si="38"/>
        <v>0</v>
      </c>
      <c r="G183" s="127">
        <f t="shared" si="38"/>
        <v>0</v>
      </c>
      <c r="H183" s="127">
        <f t="shared" si="38"/>
        <v>0.5</v>
      </c>
      <c r="I183" s="127">
        <f t="shared" si="38"/>
        <v>0.5</v>
      </c>
      <c r="J183" s="128">
        <f>SUM(D183:I183)</f>
        <v>1</v>
      </c>
    </row>
    <row r="184" spans="2:10" s="41" customFormat="1" ht="12.75">
      <c r="B184" s="32"/>
      <c r="D184" s="127"/>
      <c r="E184" s="127"/>
      <c r="F184" s="127"/>
      <c r="G184" s="127"/>
      <c r="H184" s="127"/>
      <c r="I184" s="127"/>
      <c r="J184" s="128"/>
    </row>
    <row r="185" spans="2:10" s="41" customFormat="1" ht="12.75">
      <c r="B185" s="41" t="s">
        <v>58</v>
      </c>
      <c r="D185" s="127"/>
      <c r="E185" s="127"/>
      <c r="F185" s="127"/>
      <c r="G185" s="127"/>
      <c r="H185" s="127"/>
      <c r="I185" s="127"/>
      <c r="J185" s="128"/>
    </row>
    <row r="186" spans="2:10" s="41" customFormat="1" ht="12.75">
      <c r="B186" s="41" t="s">
        <v>154</v>
      </c>
      <c r="D186" s="129">
        <f aca="true" t="shared" si="39" ref="D186:I189">D11*D$183</f>
        <v>0</v>
      </c>
      <c r="E186" s="129">
        <f t="shared" si="39"/>
        <v>0</v>
      </c>
      <c r="F186" s="129">
        <f t="shared" si="39"/>
        <v>0</v>
      </c>
      <c r="G186" s="129">
        <f t="shared" si="39"/>
        <v>0</v>
      </c>
      <c r="H186" s="129">
        <f t="shared" si="39"/>
        <v>0</v>
      </c>
      <c r="I186" s="129">
        <f t="shared" si="39"/>
        <v>0</v>
      </c>
      <c r="J186" s="129">
        <f>SUM(D186:I186)</f>
        <v>0</v>
      </c>
    </row>
    <row r="187" spans="2:10" s="41" customFormat="1" ht="12.75">
      <c r="B187" s="41" t="s">
        <v>63</v>
      </c>
      <c r="D187" s="129">
        <f t="shared" si="39"/>
        <v>0</v>
      </c>
      <c r="E187" s="129">
        <f t="shared" si="39"/>
        <v>0</v>
      </c>
      <c r="F187" s="129">
        <f t="shared" si="39"/>
        <v>0</v>
      </c>
      <c r="G187" s="129">
        <f t="shared" si="39"/>
        <v>0</v>
      </c>
      <c r="H187" s="129">
        <f t="shared" si="39"/>
        <v>0</v>
      </c>
      <c r="I187" s="129">
        <f t="shared" si="39"/>
        <v>0</v>
      </c>
      <c r="J187" s="129">
        <f>SUM(D187:I187)</f>
        <v>0</v>
      </c>
    </row>
    <row r="188" spans="2:10" s="41" customFormat="1" ht="12.75">
      <c r="B188" s="41" t="s">
        <v>64</v>
      </c>
      <c r="D188" s="129">
        <f t="shared" si="39"/>
        <v>0</v>
      </c>
      <c r="E188" s="129">
        <f t="shared" si="39"/>
        <v>0</v>
      </c>
      <c r="F188" s="129">
        <f t="shared" si="39"/>
        <v>0</v>
      </c>
      <c r="G188" s="129">
        <f t="shared" si="39"/>
        <v>0</v>
      </c>
      <c r="H188" s="129">
        <f t="shared" si="39"/>
        <v>0</v>
      </c>
      <c r="I188" s="129">
        <f t="shared" si="39"/>
        <v>0</v>
      </c>
      <c r="J188" s="129">
        <f>SUM(D188:I188)</f>
        <v>0</v>
      </c>
    </row>
    <row r="189" spans="2:10" s="41" customFormat="1" ht="12.75">
      <c r="B189" s="32" t="s">
        <v>65</v>
      </c>
      <c r="D189" s="129">
        <f t="shared" si="39"/>
        <v>0</v>
      </c>
      <c r="E189" s="129">
        <f t="shared" si="39"/>
        <v>0</v>
      </c>
      <c r="F189" s="129">
        <f t="shared" si="39"/>
        <v>0</v>
      </c>
      <c r="G189" s="129">
        <f t="shared" si="39"/>
        <v>0</v>
      </c>
      <c r="H189" s="129">
        <f t="shared" si="39"/>
        <v>103.5</v>
      </c>
      <c r="I189" s="129">
        <f t="shared" si="39"/>
        <v>66.125</v>
      </c>
      <c r="J189" s="129">
        <f>SUM(D189:I189)</f>
        <v>169.625</v>
      </c>
    </row>
    <row r="190" spans="2:10" s="41" customFormat="1" ht="12.75">
      <c r="B190" s="32"/>
      <c r="D190" s="129"/>
      <c r="E190" s="129"/>
      <c r="F190" s="129"/>
      <c r="G190" s="129"/>
      <c r="H190" s="129"/>
      <c r="I190" s="129"/>
      <c r="J190" s="130"/>
    </row>
    <row r="191" spans="2:10" s="41" customFormat="1" ht="12.75">
      <c r="B191" s="41" t="s">
        <v>66</v>
      </c>
      <c r="D191" s="129"/>
      <c r="E191" s="129"/>
      <c r="F191" s="129"/>
      <c r="G191" s="129"/>
      <c r="H191" s="129"/>
      <c r="I191" s="129"/>
      <c r="J191" s="130"/>
    </row>
    <row r="192" spans="2:10" s="41" customFormat="1" ht="12.75">
      <c r="B192" s="27"/>
      <c r="C192" s="56" t="s">
        <v>67</v>
      </c>
      <c r="D192" s="129">
        <f aca="true" t="shared" si="40" ref="D192:I201">D17*D$183</f>
        <v>0</v>
      </c>
      <c r="E192" s="129">
        <f t="shared" si="40"/>
        <v>0</v>
      </c>
      <c r="F192" s="129">
        <f t="shared" si="40"/>
        <v>0</v>
      </c>
      <c r="G192" s="129">
        <f t="shared" si="40"/>
        <v>0</v>
      </c>
      <c r="H192" s="129">
        <f t="shared" si="40"/>
        <v>15</v>
      </c>
      <c r="I192" s="129">
        <f t="shared" si="40"/>
        <v>16.8</v>
      </c>
      <c r="J192" s="129">
        <f aca="true" t="shared" si="41" ref="J192:J207">SUM(D192:I192)</f>
        <v>31.8</v>
      </c>
    </row>
    <row r="193" spans="2:10" s="41" customFormat="1" ht="12.75">
      <c r="B193" s="27"/>
      <c r="C193" s="56" t="s">
        <v>68</v>
      </c>
      <c r="D193" s="131">
        <f t="shared" si="40"/>
        <v>0</v>
      </c>
      <c r="E193" s="131">
        <f t="shared" si="40"/>
        <v>0</v>
      </c>
      <c r="F193" s="131">
        <f t="shared" si="40"/>
        <v>0</v>
      </c>
      <c r="G193" s="131">
        <f t="shared" si="40"/>
        <v>0</v>
      </c>
      <c r="H193" s="131">
        <f t="shared" si="40"/>
        <v>15.49</v>
      </c>
      <c r="I193" s="131">
        <f t="shared" si="40"/>
        <v>9.595</v>
      </c>
      <c r="J193" s="131">
        <f t="shared" si="41"/>
        <v>25.085</v>
      </c>
    </row>
    <row r="194" spans="2:10" s="41" customFormat="1" ht="12.75">
      <c r="B194" s="27"/>
      <c r="C194" s="56" t="s">
        <v>69</v>
      </c>
      <c r="D194" s="131">
        <f t="shared" si="40"/>
        <v>0</v>
      </c>
      <c r="E194" s="131">
        <f t="shared" si="40"/>
        <v>0</v>
      </c>
      <c r="F194" s="131">
        <f t="shared" si="40"/>
        <v>0</v>
      </c>
      <c r="G194" s="131">
        <f t="shared" si="40"/>
        <v>0</v>
      </c>
      <c r="H194" s="131">
        <f t="shared" si="40"/>
        <v>0</v>
      </c>
      <c r="I194" s="131">
        <f t="shared" si="40"/>
        <v>0</v>
      </c>
      <c r="J194" s="131">
        <f t="shared" si="41"/>
        <v>0</v>
      </c>
    </row>
    <row r="195" spans="2:10" s="41" customFormat="1" ht="12.75">
      <c r="B195" s="27"/>
      <c r="C195" s="56" t="s">
        <v>70</v>
      </c>
      <c r="D195" s="131">
        <f t="shared" si="40"/>
        <v>0</v>
      </c>
      <c r="E195" s="131">
        <f t="shared" si="40"/>
        <v>0</v>
      </c>
      <c r="F195" s="131">
        <f t="shared" si="40"/>
        <v>0</v>
      </c>
      <c r="G195" s="131">
        <f t="shared" si="40"/>
        <v>0</v>
      </c>
      <c r="H195" s="131">
        <f t="shared" si="40"/>
        <v>17.465</v>
      </c>
      <c r="I195" s="131">
        <f t="shared" si="40"/>
        <v>2.4299999999999997</v>
      </c>
      <c r="J195" s="131">
        <f t="shared" si="41"/>
        <v>19.895</v>
      </c>
    </row>
    <row r="196" spans="3:10" ht="12.75">
      <c r="C196" s="56" t="s">
        <v>71</v>
      </c>
      <c r="D196" s="131">
        <f t="shared" si="40"/>
        <v>0</v>
      </c>
      <c r="E196" s="131">
        <f t="shared" si="40"/>
        <v>0</v>
      </c>
      <c r="F196" s="131">
        <f t="shared" si="40"/>
        <v>0</v>
      </c>
      <c r="G196" s="131">
        <f t="shared" si="40"/>
        <v>0</v>
      </c>
      <c r="H196" s="131">
        <f t="shared" si="40"/>
        <v>0</v>
      </c>
      <c r="I196" s="131">
        <f t="shared" si="40"/>
        <v>0</v>
      </c>
      <c r="J196" s="131">
        <f t="shared" si="41"/>
        <v>0</v>
      </c>
    </row>
    <row r="197" spans="3:10" ht="12.75">
      <c r="C197" s="56" t="s">
        <v>72</v>
      </c>
      <c r="D197" s="131">
        <f t="shared" si="40"/>
        <v>0</v>
      </c>
      <c r="E197" s="131">
        <f t="shared" si="40"/>
        <v>0</v>
      </c>
      <c r="F197" s="131">
        <f t="shared" si="40"/>
        <v>0</v>
      </c>
      <c r="G197" s="131">
        <f t="shared" si="40"/>
        <v>0</v>
      </c>
      <c r="H197" s="131">
        <f t="shared" si="40"/>
        <v>0</v>
      </c>
      <c r="I197" s="131">
        <f t="shared" si="40"/>
        <v>0</v>
      </c>
      <c r="J197" s="131">
        <f t="shared" si="41"/>
        <v>0</v>
      </c>
    </row>
    <row r="198" spans="3:10" ht="12.75">
      <c r="C198" s="56" t="s">
        <v>73</v>
      </c>
      <c r="D198" s="131">
        <f t="shared" si="40"/>
        <v>0</v>
      </c>
      <c r="E198" s="131">
        <f t="shared" si="40"/>
        <v>0</v>
      </c>
      <c r="F198" s="131">
        <f t="shared" si="40"/>
        <v>0</v>
      </c>
      <c r="G198" s="131">
        <f t="shared" si="40"/>
        <v>0</v>
      </c>
      <c r="H198" s="131">
        <f t="shared" si="40"/>
        <v>5.98</v>
      </c>
      <c r="I198" s="131">
        <f t="shared" si="40"/>
        <v>0</v>
      </c>
      <c r="J198" s="131">
        <f t="shared" si="41"/>
        <v>5.98</v>
      </c>
    </row>
    <row r="199" spans="3:10" ht="12.75">
      <c r="C199" s="41" t="s">
        <v>74</v>
      </c>
      <c r="D199" s="131">
        <f t="shared" si="40"/>
        <v>0</v>
      </c>
      <c r="E199" s="131">
        <f t="shared" si="40"/>
        <v>0</v>
      </c>
      <c r="F199" s="131">
        <f t="shared" si="40"/>
        <v>0</v>
      </c>
      <c r="G199" s="131">
        <f t="shared" si="40"/>
        <v>0</v>
      </c>
      <c r="H199" s="131">
        <f t="shared" si="40"/>
        <v>2.5</v>
      </c>
      <c r="I199" s="131">
        <f t="shared" si="40"/>
        <v>2.5</v>
      </c>
      <c r="J199" s="131">
        <f t="shared" si="41"/>
        <v>5</v>
      </c>
    </row>
    <row r="200" spans="3:10" ht="12.75">
      <c r="C200" s="56" t="s">
        <v>75</v>
      </c>
      <c r="D200" s="131">
        <f t="shared" si="40"/>
        <v>0</v>
      </c>
      <c r="E200" s="131">
        <f t="shared" si="40"/>
        <v>0</v>
      </c>
      <c r="F200" s="131">
        <f t="shared" si="40"/>
        <v>0</v>
      </c>
      <c r="G200" s="131">
        <f t="shared" si="40"/>
        <v>0</v>
      </c>
      <c r="H200" s="131">
        <f t="shared" si="40"/>
        <v>34.1517</v>
      </c>
      <c r="I200" s="131">
        <f t="shared" si="40"/>
        <v>20.6205</v>
      </c>
      <c r="J200" s="131">
        <f t="shared" si="41"/>
        <v>54.7722</v>
      </c>
    </row>
    <row r="201" spans="3:10" ht="12.75">
      <c r="C201" s="56" t="s">
        <v>76</v>
      </c>
      <c r="D201" s="131">
        <f t="shared" si="40"/>
        <v>0</v>
      </c>
      <c r="E201" s="131">
        <f t="shared" si="40"/>
        <v>0</v>
      </c>
      <c r="F201" s="131">
        <f t="shared" si="40"/>
        <v>0</v>
      </c>
      <c r="G201" s="131">
        <f t="shared" si="40"/>
        <v>0</v>
      </c>
      <c r="H201" s="131">
        <f t="shared" si="40"/>
        <v>7.5</v>
      </c>
      <c r="I201" s="131">
        <f t="shared" si="40"/>
        <v>7.5</v>
      </c>
      <c r="J201" s="131">
        <f t="shared" si="41"/>
        <v>15</v>
      </c>
    </row>
    <row r="202" spans="3:10" ht="12.75">
      <c r="C202" s="56" t="s">
        <v>77</v>
      </c>
      <c r="D202" s="131">
        <f aca="true" t="shared" si="42" ref="D202:I207">D27*D$183</f>
        <v>0</v>
      </c>
      <c r="E202" s="131">
        <f t="shared" si="42"/>
        <v>0</v>
      </c>
      <c r="F202" s="131">
        <f t="shared" si="42"/>
        <v>0</v>
      </c>
      <c r="G202" s="131">
        <f t="shared" si="42"/>
        <v>0</v>
      </c>
      <c r="H202" s="131">
        <f t="shared" si="42"/>
        <v>0</v>
      </c>
      <c r="I202" s="131">
        <f t="shared" si="42"/>
        <v>0</v>
      </c>
      <c r="J202" s="131">
        <f t="shared" si="41"/>
        <v>0</v>
      </c>
    </row>
    <row r="203" spans="3:10" ht="12.75">
      <c r="C203" s="41" t="s">
        <v>78</v>
      </c>
      <c r="D203" s="131">
        <f t="shared" si="42"/>
        <v>0</v>
      </c>
      <c r="E203" s="131">
        <f t="shared" si="42"/>
        <v>0</v>
      </c>
      <c r="F203" s="131">
        <f t="shared" si="42"/>
        <v>0</v>
      </c>
      <c r="G203" s="131">
        <f t="shared" si="42"/>
        <v>0</v>
      </c>
      <c r="H203" s="131">
        <f t="shared" si="42"/>
        <v>2</v>
      </c>
      <c r="I203" s="131">
        <f t="shared" si="42"/>
        <v>2</v>
      </c>
      <c r="J203" s="131">
        <f t="shared" si="41"/>
        <v>4</v>
      </c>
    </row>
    <row r="204" spans="2:10" ht="12.75">
      <c r="B204" s="41" t="s">
        <v>79</v>
      </c>
      <c r="D204" s="129">
        <f t="shared" si="42"/>
        <v>0</v>
      </c>
      <c r="E204" s="129">
        <f t="shared" si="42"/>
        <v>0</v>
      </c>
      <c r="F204" s="129">
        <f t="shared" si="42"/>
        <v>0</v>
      </c>
      <c r="G204" s="129">
        <f t="shared" si="42"/>
        <v>0</v>
      </c>
      <c r="H204" s="129">
        <f t="shared" si="42"/>
        <v>100.08670000000001</v>
      </c>
      <c r="I204" s="129">
        <f t="shared" si="42"/>
        <v>61.4455</v>
      </c>
      <c r="J204" s="129">
        <f t="shared" si="41"/>
        <v>161.53220000000002</v>
      </c>
    </row>
    <row r="205" spans="3:10" ht="12.75">
      <c r="C205" s="41" t="s">
        <v>80</v>
      </c>
      <c r="D205" s="131">
        <f t="shared" si="42"/>
        <v>0</v>
      </c>
      <c r="E205" s="131">
        <f t="shared" si="42"/>
        <v>0</v>
      </c>
      <c r="F205" s="131">
        <f t="shared" si="42"/>
        <v>0</v>
      </c>
      <c r="G205" s="131">
        <f t="shared" si="42"/>
        <v>0</v>
      </c>
      <c r="H205" s="131">
        <f t="shared" si="42"/>
        <v>3.6842680000000003</v>
      </c>
      <c r="I205" s="131">
        <f t="shared" si="42"/>
        <v>2.3778200000000003</v>
      </c>
      <c r="J205" s="131">
        <f t="shared" si="41"/>
        <v>6.062088000000001</v>
      </c>
    </row>
    <row r="206" spans="2:10" ht="12.75">
      <c r="B206" s="35" t="s">
        <v>81</v>
      </c>
      <c r="C206" s="35"/>
      <c r="D206" s="132">
        <f t="shared" si="42"/>
        <v>0</v>
      </c>
      <c r="E206" s="132">
        <f t="shared" si="42"/>
        <v>0</v>
      </c>
      <c r="F206" s="132">
        <f t="shared" si="42"/>
        <v>0</v>
      </c>
      <c r="G206" s="132">
        <f t="shared" si="42"/>
        <v>0</v>
      </c>
      <c r="H206" s="132">
        <f t="shared" si="42"/>
        <v>103.77096800000001</v>
      </c>
      <c r="I206" s="132">
        <f t="shared" si="42"/>
        <v>63.82332</v>
      </c>
      <c r="J206" s="132">
        <f t="shared" si="41"/>
        <v>167.594288</v>
      </c>
    </row>
    <row r="207" spans="2:10" ht="12.75">
      <c r="B207" s="32" t="s">
        <v>82</v>
      </c>
      <c r="D207" s="129">
        <f t="shared" si="42"/>
        <v>0</v>
      </c>
      <c r="E207" s="129">
        <f t="shared" si="42"/>
        <v>0</v>
      </c>
      <c r="F207" s="129">
        <f t="shared" si="42"/>
        <v>0</v>
      </c>
      <c r="G207" s="129">
        <f t="shared" si="42"/>
        <v>0</v>
      </c>
      <c r="H207" s="129">
        <f t="shared" si="42"/>
        <v>-0.27096800000001053</v>
      </c>
      <c r="I207" s="129">
        <f t="shared" si="42"/>
        <v>2.3016799999999975</v>
      </c>
      <c r="J207" s="129">
        <f t="shared" si="41"/>
        <v>2.030711999999987</v>
      </c>
    </row>
  </sheetData>
  <sheetProtection password="CBAF" sheet="1" objects="1" scenarios="1"/>
  <mergeCells count="21">
    <mergeCell ref="B5:C5"/>
    <mergeCell ref="B6:C6"/>
    <mergeCell ref="B4:C4"/>
    <mergeCell ref="B44:C44"/>
    <mergeCell ref="B42:C42"/>
    <mergeCell ref="B43:C43"/>
    <mergeCell ref="B8:C8"/>
    <mergeCell ref="B16:C16"/>
    <mergeCell ref="B50:C50"/>
    <mergeCell ref="B61:C61"/>
    <mergeCell ref="B67:C67"/>
    <mergeCell ref="B68:C68"/>
    <mergeCell ref="B66:C66"/>
    <mergeCell ref="B77:C77"/>
    <mergeCell ref="B78:C78"/>
    <mergeCell ref="B87:C87"/>
    <mergeCell ref="B99:C99"/>
    <mergeCell ref="B96:C96"/>
    <mergeCell ref="B97:C97"/>
    <mergeCell ref="B94:C94"/>
    <mergeCell ref="B93:C93"/>
  </mergeCells>
  <printOptions/>
  <pageMargins left="0.75" right="0.75" top="0.75" bottom="0.5" header="0.5" footer="0.5"/>
  <pageSetup fitToHeight="1" fitToWidth="1" horizontalDpi="600" verticalDpi="600" orientation="landscape" scale="65" r:id="rId3"/>
  <legacyDrawing r:id="rId2"/>
</worksheet>
</file>

<file path=xl/worksheets/sheet5.xml><?xml version="1.0" encoding="utf-8"?>
<worksheet xmlns="http://schemas.openxmlformats.org/spreadsheetml/2006/main" xmlns:r="http://schemas.openxmlformats.org/officeDocument/2006/relationships">
  <sheetPr codeName="Sheet6"/>
  <dimension ref="A1:K18"/>
  <sheetViews>
    <sheetView workbookViewId="0" topLeftCell="A1">
      <selection activeCell="F9" sqref="F9"/>
    </sheetView>
  </sheetViews>
  <sheetFormatPr defaultColWidth="9.140625" defaultRowHeight="12.75"/>
  <cols>
    <col min="1" max="1" width="2.7109375" style="0" customWidth="1"/>
    <col min="2" max="5" width="10.57421875" style="0" customWidth="1"/>
    <col min="6" max="6" width="13.28125" style="0" customWidth="1"/>
    <col min="7" max="8" width="10.57421875" style="0" customWidth="1"/>
    <col min="9" max="9" width="10.00390625" style="0" customWidth="1"/>
    <col min="10" max="10" width="13.28125" style="0" customWidth="1"/>
    <col min="11" max="11" width="10.57421875" style="0" customWidth="1"/>
    <col min="12" max="12" width="2.7109375" style="0" customWidth="1"/>
  </cols>
  <sheetData>
    <row r="1" spans="1:8" ht="15.75">
      <c r="A1" s="242"/>
      <c r="B1" s="242"/>
      <c r="C1" s="243"/>
      <c r="D1" s="243"/>
      <c r="E1" s="243"/>
      <c r="F1" s="243"/>
      <c r="G1" s="243"/>
      <c r="H1" s="243"/>
    </row>
    <row r="2" spans="1:11" ht="30">
      <c r="A2" s="243"/>
      <c r="B2" s="212" t="s">
        <v>240</v>
      </c>
      <c r="C2" s="208"/>
      <c r="D2" s="209"/>
      <c r="E2" s="209"/>
      <c r="F2" s="209"/>
      <c r="G2" s="208"/>
      <c r="H2" s="209"/>
      <c r="I2" s="208"/>
      <c r="J2" s="208"/>
      <c r="K2" s="208"/>
    </row>
    <row r="3" spans="1:11" ht="18.75">
      <c r="A3" s="243"/>
      <c r="B3" s="210"/>
      <c r="C3" s="177"/>
      <c r="D3" s="209"/>
      <c r="E3" s="211"/>
      <c r="F3" s="209"/>
      <c r="G3" s="209"/>
      <c r="H3" s="209"/>
      <c r="I3" s="208"/>
      <c r="J3" s="208"/>
      <c r="K3" s="177"/>
    </row>
    <row r="4" ht="12.75">
      <c r="B4" s="217" t="s">
        <v>245</v>
      </c>
    </row>
    <row r="5" ht="12.75">
      <c r="B5" s="217" t="s">
        <v>246</v>
      </c>
    </row>
    <row r="9" spans="3:6" ht="12.75">
      <c r="C9" s="244" t="s">
        <v>235</v>
      </c>
      <c r="D9" s="244"/>
      <c r="E9" s="244"/>
      <c r="F9" s="278">
        <v>0.05</v>
      </c>
    </row>
    <row r="10" spans="3:6" ht="12.75">
      <c r="C10" s="245" t="s">
        <v>158</v>
      </c>
      <c r="D10" s="244"/>
      <c r="E10" s="244"/>
      <c r="F10" s="249"/>
    </row>
    <row r="11" spans="3:6" ht="12.75">
      <c r="C11" s="244"/>
      <c r="D11" s="244"/>
      <c r="E11" s="244"/>
      <c r="F11" s="249"/>
    </row>
    <row r="12" spans="3:10" ht="15">
      <c r="C12" s="244" t="s">
        <v>236</v>
      </c>
      <c r="D12" s="244"/>
      <c r="E12" s="244"/>
      <c r="F12" s="279">
        <v>5</v>
      </c>
      <c r="H12" s="248" t="s">
        <v>239</v>
      </c>
      <c r="I12" s="246"/>
      <c r="J12" s="247">
        <f>IF(F18=0,0,((F9*(1+F9)^F12)/(((1+F9)^F12)-1))*F18)</f>
        <v>2309.747981282681</v>
      </c>
    </row>
    <row r="13" spans="3:6" ht="12.75">
      <c r="C13" s="244"/>
      <c r="D13" s="244"/>
      <c r="E13" s="244"/>
      <c r="F13" s="250"/>
    </row>
    <row r="14" spans="3:6" ht="12.75">
      <c r="C14" s="244"/>
      <c r="D14" s="244"/>
      <c r="E14" s="244"/>
      <c r="F14" s="250"/>
    </row>
    <row r="15" spans="3:10" ht="15">
      <c r="C15" s="244" t="s">
        <v>242</v>
      </c>
      <c r="D15" s="244"/>
      <c r="E15" s="244"/>
      <c r="F15" s="280">
        <v>190</v>
      </c>
      <c r="H15" s="248" t="s">
        <v>238</v>
      </c>
      <c r="I15" s="246"/>
      <c r="J15" s="247">
        <f>IF(F15=0,0,(IF(F15&lt;0,"Negative Units",(J12/F15))))</f>
        <v>12.156568322540426</v>
      </c>
    </row>
    <row r="16" spans="3:6" ht="12.75">
      <c r="C16" s="244"/>
      <c r="D16" s="244"/>
      <c r="E16" s="244"/>
      <c r="F16" s="250"/>
    </row>
    <row r="17" spans="3:6" ht="12.75">
      <c r="C17" s="244"/>
      <c r="D17" s="244"/>
      <c r="E17" s="244"/>
      <c r="F17" s="249"/>
    </row>
    <row r="18" spans="3:6" ht="12.75">
      <c r="C18" s="244" t="s">
        <v>237</v>
      </c>
      <c r="D18" s="244"/>
      <c r="E18" s="244"/>
      <c r="F18" s="281">
        <v>10000</v>
      </c>
    </row>
  </sheetData>
  <sheetProtection password="CBAF" sheet="1" objects="1" scenarios="1" selectLockedCells="1"/>
  <protectedRanges>
    <protectedRange sqref="F9 F12 F18 F15" name="AmortInput"/>
  </protectedRange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7"/>
  <dimension ref="A2:K62"/>
  <sheetViews>
    <sheetView workbookViewId="0" topLeftCell="A1">
      <selection activeCell="E6" sqref="E6"/>
    </sheetView>
  </sheetViews>
  <sheetFormatPr defaultColWidth="9.140625" defaultRowHeight="12.75"/>
  <cols>
    <col min="1" max="1" width="2.421875" style="0" customWidth="1"/>
    <col min="2" max="2" width="10.28125" style="0" customWidth="1"/>
    <col min="3" max="3" width="3.28125" style="0" customWidth="1"/>
    <col min="4" max="11" width="16.140625" style="0" customWidth="1"/>
  </cols>
  <sheetData>
    <row r="2" spans="2:11" ht="30">
      <c r="B2" s="212" t="s">
        <v>191</v>
      </c>
      <c r="C2" s="209"/>
      <c r="D2" s="209"/>
      <c r="E2" s="209"/>
      <c r="F2" s="25"/>
      <c r="G2" s="25"/>
      <c r="H2" s="25"/>
      <c r="I2" s="25"/>
      <c r="J2" s="25"/>
      <c r="K2" s="25"/>
    </row>
    <row r="3" spans="1:11" ht="18.75">
      <c r="A3" s="210"/>
      <c r="B3" s="211" t="s">
        <v>193</v>
      </c>
      <c r="C3" s="209"/>
      <c r="D3" s="208"/>
      <c r="E3" s="209"/>
      <c r="F3" s="208"/>
      <c r="G3" s="25"/>
      <c r="H3" s="208"/>
      <c r="I3" s="208"/>
      <c r="J3" s="25"/>
      <c r="K3" s="25"/>
    </row>
    <row r="5" spans="8:10" ht="12.75">
      <c r="H5" s="133"/>
      <c r="I5" s="133"/>
      <c r="J5" s="133"/>
    </row>
    <row r="6" spans="2:10" ht="12.75">
      <c r="B6" t="s">
        <v>192</v>
      </c>
      <c r="E6" s="282">
        <v>0.05</v>
      </c>
      <c r="H6" s="134"/>
      <c r="I6" s="135"/>
      <c r="J6" s="135"/>
    </row>
    <row r="7" spans="2:10" ht="12.75">
      <c r="B7" s="136" t="s">
        <v>158</v>
      </c>
      <c r="E7" s="137"/>
      <c r="H7" s="134"/>
      <c r="I7" s="135"/>
      <c r="J7" s="135"/>
    </row>
    <row r="8" ht="12.75">
      <c r="E8" s="137"/>
    </row>
    <row r="9" spans="2:5" ht="12.75">
      <c r="B9" t="s">
        <v>159</v>
      </c>
      <c r="E9" s="283">
        <v>20</v>
      </c>
    </row>
    <row r="11" spans="4:10" ht="12.75">
      <c r="D11" s="138" t="s">
        <v>160</v>
      </c>
      <c r="E11" s="138" t="s">
        <v>161</v>
      </c>
      <c r="F11" s="139"/>
      <c r="G11" s="138" t="s">
        <v>161</v>
      </c>
      <c r="H11" s="139"/>
      <c r="I11" s="140" t="s">
        <v>161</v>
      </c>
      <c r="J11" s="141"/>
    </row>
    <row r="12" spans="2:11" ht="12.75">
      <c r="B12" s="142" t="s">
        <v>162</v>
      </c>
      <c r="D12" s="142" t="s">
        <v>163</v>
      </c>
      <c r="E12" s="142" t="s">
        <v>164</v>
      </c>
      <c r="F12" s="142" t="s">
        <v>165</v>
      </c>
      <c r="G12" s="142" t="s">
        <v>166</v>
      </c>
      <c r="H12" s="142" t="s">
        <v>167</v>
      </c>
      <c r="I12" s="142" t="s">
        <v>168</v>
      </c>
      <c r="J12" s="142" t="s">
        <v>169</v>
      </c>
      <c r="K12" s="142" t="s">
        <v>170</v>
      </c>
    </row>
    <row r="13" spans="2:11" ht="12.75">
      <c r="B13" s="137">
        <v>1</v>
      </c>
      <c r="D13" s="284">
        <v>2000</v>
      </c>
      <c r="E13" s="65">
        <f>D13/1</f>
        <v>2000</v>
      </c>
      <c r="F13" s="284">
        <v>20000</v>
      </c>
      <c r="G13" s="65">
        <f>F13/1</f>
        <v>20000</v>
      </c>
      <c r="H13" s="65">
        <f>D13-F13</f>
        <v>-18000</v>
      </c>
      <c r="I13" s="65">
        <f>H13/1</f>
        <v>-18000</v>
      </c>
      <c r="J13" s="65">
        <f>H13</f>
        <v>-18000</v>
      </c>
      <c r="K13" s="66" t="e">
        <f>IRR($H$13:H13,$E$6)</f>
        <v>#NUM!</v>
      </c>
    </row>
    <row r="14" spans="2:11" ht="12.75">
      <c r="B14" s="137">
        <v>2</v>
      </c>
      <c r="D14" s="285">
        <v>2000</v>
      </c>
      <c r="E14" s="95">
        <f aca="true" t="shared" si="0" ref="E14:E32">D14/((1+$E$6)^$B13)</f>
        <v>1904.7619047619046</v>
      </c>
      <c r="F14" s="285">
        <v>0</v>
      </c>
      <c r="G14" s="95">
        <f>F14/((1+$E$6)^$B13)</f>
        <v>0</v>
      </c>
      <c r="H14" s="95">
        <f aca="true" t="shared" si="1" ref="H14:H32">D14-F14</f>
        <v>2000</v>
      </c>
      <c r="I14" s="95">
        <f>H14/((1+$E$6)^B13)</f>
        <v>1904.7619047619046</v>
      </c>
      <c r="J14" s="65">
        <f>(NPV($E$6,$H$14:$H14))+$J$13</f>
        <v>-16095.238095238095</v>
      </c>
      <c r="K14" s="66" t="e">
        <f>IRR($H$13:H14,$E$6)</f>
        <v>#NUM!</v>
      </c>
    </row>
    <row r="15" spans="2:11" ht="12.75">
      <c r="B15" s="137">
        <v>3</v>
      </c>
      <c r="D15" s="285">
        <v>2000</v>
      </c>
      <c r="E15" s="95">
        <f t="shared" si="0"/>
        <v>1814.0589569160998</v>
      </c>
      <c r="F15" s="285">
        <v>0</v>
      </c>
      <c r="G15" s="95">
        <f>F15/((1+$E$6)^$B14)</f>
        <v>0</v>
      </c>
      <c r="H15" s="95">
        <f t="shared" si="1"/>
        <v>2000</v>
      </c>
      <c r="I15" s="95">
        <f aca="true" t="shared" si="2" ref="I15:I32">H15/((1+$E$6)^B14)</f>
        <v>1814.0589569160998</v>
      </c>
      <c r="J15" s="65">
        <f>(NPV($E$6,$H$14:$H15))+$J$13</f>
        <v>-14281.179138321995</v>
      </c>
      <c r="K15" s="66" t="e">
        <f>IRR($H$13:H15,$E$6)</f>
        <v>#NUM!</v>
      </c>
    </row>
    <row r="16" spans="2:11" ht="12.75">
      <c r="B16" s="137">
        <v>4</v>
      </c>
      <c r="D16" s="285">
        <v>2000</v>
      </c>
      <c r="E16" s="95">
        <f t="shared" si="0"/>
        <v>1727.675197062952</v>
      </c>
      <c r="F16" s="285">
        <v>0</v>
      </c>
      <c r="G16" s="95">
        <f aca="true" t="shared" si="3" ref="G16:G32">F16/((1+$E$6)^$B15)</f>
        <v>0</v>
      </c>
      <c r="H16" s="95">
        <f t="shared" si="1"/>
        <v>2000</v>
      </c>
      <c r="I16" s="95">
        <f t="shared" si="2"/>
        <v>1727.675197062952</v>
      </c>
      <c r="J16" s="65">
        <f>(NPV($E$6,$H$14:$H16))+$J$13</f>
        <v>-12553.503941259043</v>
      </c>
      <c r="K16" s="66" t="e">
        <f>IRR($H$13:H16,$E$6)</f>
        <v>#NUM!</v>
      </c>
    </row>
    <row r="17" spans="2:11" ht="12.75">
      <c r="B17" s="137">
        <v>5</v>
      </c>
      <c r="D17" s="285">
        <v>2000</v>
      </c>
      <c r="E17" s="95">
        <f t="shared" si="0"/>
        <v>1645.404949583764</v>
      </c>
      <c r="F17" s="285">
        <v>0</v>
      </c>
      <c r="G17" s="95">
        <f t="shared" si="3"/>
        <v>0</v>
      </c>
      <c r="H17" s="95">
        <f t="shared" si="1"/>
        <v>2000</v>
      </c>
      <c r="I17" s="95">
        <f t="shared" si="2"/>
        <v>1645.404949583764</v>
      </c>
      <c r="J17" s="65">
        <f>(NPV($E$6,$H$14:$H17))+$J$13</f>
        <v>-10908.09899167528</v>
      </c>
      <c r="K17" s="66">
        <f>IRR($H$13:H17,$E$6)</f>
        <v>-0.26057107290657505</v>
      </c>
    </row>
    <row r="18" spans="2:11" ht="12.75">
      <c r="B18" s="137">
        <v>6</v>
      </c>
      <c r="D18" s="285">
        <v>2000</v>
      </c>
      <c r="E18" s="95">
        <f t="shared" si="0"/>
        <v>1567.052332936918</v>
      </c>
      <c r="F18" s="285">
        <v>0</v>
      </c>
      <c r="G18" s="95">
        <f t="shared" si="3"/>
        <v>0</v>
      </c>
      <c r="H18" s="95">
        <f t="shared" si="1"/>
        <v>2000</v>
      </c>
      <c r="I18" s="95">
        <f t="shared" si="2"/>
        <v>1567.052332936918</v>
      </c>
      <c r="J18" s="65">
        <f>(NPV($E$6,$H$14:$H18))+$J$13</f>
        <v>-9341.046658738362</v>
      </c>
      <c r="K18" s="66">
        <f>IRR($H$13:H18,$E$6)</f>
        <v>-0.16860219859419934</v>
      </c>
    </row>
    <row r="19" spans="2:11" ht="12.75">
      <c r="B19" s="137">
        <v>7</v>
      </c>
      <c r="D19" s="285">
        <v>2000</v>
      </c>
      <c r="E19" s="95">
        <f t="shared" si="0"/>
        <v>1492.4307932732554</v>
      </c>
      <c r="F19" s="285">
        <v>0</v>
      </c>
      <c r="G19" s="95">
        <f t="shared" si="3"/>
        <v>0</v>
      </c>
      <c r="H19" s="95">
        <f t="shared" si="1"/>
        <v>2000</v>
      </c>
      <c r="I19" s="95">
        <f t="shared" si="2"/>
        <v>1492.4307932732554</v>
      </c>
      <c r="J19" s="65">
        <f>(NPV($E$6,$H$14:$H19))+$J$13</f>
        <v>-7848.615865465106</v>
      </c>
      <c r="K19" s="66">
        <f>IRR($H$13:H19,$E$6)</f>
        <v>-0.1048421758767123</v>
      </c>
    </row>
    <row r="20" spans="2:11" ht="12.75">
      <c r="B20" s="137">
        <v>8</v>
      </c>
      <c r="D20" s="285">
        <v>2000</v>
      </c>
      <c r="E20" s="95">
        <f t="shared" si="0"/>
        <v>1421.3626602602428</v>
      </c>
      <c r="F20" s="285">
        <v>0</v>
      </c>
      <c r="G20" s="95">
        <f t="shared" si="3"/>
        <v>0</v>
      </c>
      <c r="H20" s="95">
        <f t="shared" si="1"/>
        <v>2000</v>
      </c>
      <c r="I20" s="95">
        <f t="shared" si="2"/>
        <v>1421.3626602602428</v>
      </c>
      <c r="J20" s="65">
        <f>(NPV($E$6,$H$14:$H20))+$J$13</f>
        <v>-6427.253205204863</v>
      </c>
      <c r="K20" s="66">
        <f>IRR($H$13:H20,$E$6)</f>
        <v>-0.05915102492032848</v>
      </c>
    </row>
    <row r="21" spans="2:11" ht="12.75">
      <c r="B21" s="137">
        <v>9</v>
      </c>
      <c r="D21" s="285">
        <v>2000</v>
      </c>
      <c r="E21" s="95">
        <f t="shared" si="0"/>
        <v>1353.6787240573744</v>
      </c>
      <c r="F21" s="285">
        <v>0</v>
      </c>
      <c r="G21" s="95">
        <f t="shared" si="3"/>
        <v>0</v>
      </c>
      <c r="H21" s="95">
        <f t="shared" si="1"/>
        <v>2000</v>
      </c>
      <c r="I21" s="95">
        <f t="shared" si="2"/>
        <v>1353.6787240573744</v>
      </c>
      <c r="J21" s="65">
        <f>(NPV($E$6,$H$14:$H21))+$J$13</f>
        <v>-5073.574481147489</v>
      </c>
      <c r="K21" s="66">
        <f>IRR($H$13:H21,$E$6)</f>
        <v>-0.025456644153616065</v>
      </c>
    </row>
    <row r="22" spans="2:11" ht="12.75">
      <c r="B22" s="137">
        <v>10</v>
      </c>
      <c r="D22" s="285">
        <v>2000</v>
      </c>
      <c r="E22" s="95">
        <f t="shared" si="0"/>
        <v>1289.2178324355946</v>
      </c>
      <c r="F22" s="285">
        <v>0</v>
      </c>
      <c r="G22" s="95">
        <f t="shared" si="3"/>
        <v>0</v>
      </c>
      <c r="H22" s="95">
        <f t="shared" si="1"/>
        <v>2000</v>
      </c>
      <c r="I22" s="95">
        <f t="shared" si="2"/>
        <v>1289.2178324355946</v>
      </c>
      <c r="J22" s="65">
        <f>(NPV($E$6,$H$14:$H22))+$J$13</f>
        <v>-3784.356648711895</v>
      </c>
      <c r="K22" s="66">
        <f>IRR($H$13:H22,$E$6)</f>
        <v>2.1899439073680637E-16</v>
      </c>
    </row>
    <row r="23" spans="2:11" ht="12.75">
      <c r="B23" s="137">
        <v>11</v>
      </c>
      <c r="D23" s="285">
        <v>2000</v>
      </c>
      <c r="E23" s="95">
        <f t="shared" si="0"/>
        <v>1227.8265070815187</v>
      </c>
      <c r="F23" s="285">
        <v>0</v>
      </c>
      <c r="G23" s="95">
        <f t="shared" si="3"/>
        <v>0</v>
      </c>
      <c r="H23" s="95">
        <f t="shared" si="1"/>
        <v>2000</v>
      </c>
      <c r="I23" s="95">
        <f t="shared" si="2"/>
        <v>1227.8265070815187</v>
      </c>
      <c r="J23" s="65">
        <f>(NPV($E$6,$H$14:$H23))+$J$13</f>
        <v>-2556.5301416303773</v>
      </c>
      <c r="K23" s="66">
        <f>IRR($H$13:H23,$E$6)</f>
        <v>0.019629979784467667</v>
      </c>
    </row>
    <row r="24" spans="2:11" ht="12.75">
      <c r="B24" s="137">
        <v>12</v>
      </c>
      <c r="D24" s="285">
        <v>2000</v>
      </c>
      <c r="E24" s="95">
        <f t="shared" si="0"/>
        <v>1169.3585781728748</v>
      </c>
      <c r="F24" s="285">
        <v>0</v>
      </c>
      <c r="G24" s="95">
        <f t="shared" si="3"/>
        <v>0</v>
      </c>
      <c r="H24" s="95">
        <f t="shared" si="1"/>
        <v>2000</v>
      </c>
      <c r="I24" s="95">
        <f t="shared" si="2"/>
        <v>1169.3585781728748</v>
      </c>
      <c r="J24" s="65">
        <f>(NPV($E$6,$H$14:$H24))+$J$13</f>
        <v>-1387.1715634575012</v>
      </c>
      <c r="K24" s="66">
        <f>IRR($H$13:H24,$E$6)</f>
        <v>0.035031530362277054</v>
      </c>
    </row>
    <row r="25" spans="2:11" ht="12.75">
      <c r="B25" s="137">
        <v>13</v>
      </c>
      <c r="D25" s="285">
        <v>2000</v>
      </c>
      <c r="E25" s="95">
        <f t="shared" si="0"/>
        <v>1113.674836355119</v>
      </c>
      <c r="F25" s="285">
        <v>0</v>
      </c>
      <c r="G25" s="95">
        <f t="shared" si="3"/>
        <v>0</v>
      </c>
      <c r="H25" s="95">
        <f t="shared" si="1"/>
        <v>2000</v>
      </c>
      <c r="I25" s="95">
        <f t="shared" si="2"/>
        <v>1113.674836355119</v>
      </c>
      <c r="J25" s="65">
        <f>(NPV($E$6,$H$14:$H25))+$J$13</f>
        <v>-273.49672710238156</v>
      </c>
      <c r="K25" s="66">
        <f>IRR($H$13:H25,$E$6)</f>
        <v>0.04729565938217802</v>
      </c>
    </row>
    <row r="26" spans="2:11" ht="12.75">
      <c r="B26" s="137">
        <v>14</v>
      </c>
      <c r="D26" s="285">
        <v>2000</v>
      </c>
      <c r="E26" s="95">
        <f t="shared" si="0"/>
        <v>1060.6427012905895</v>
      </c>
      <c r="F26" s="285">
        <v>0</v>
      </c>
      <c r="G26" s="95">
        <f t="shared" si="3"/>
        <v>0</v>
      </c>
      <c r="H26" s="95">
        <f t="shared" si="1"/>
        <v>2000</v>
      </c>
      <c r="I26" s="95">
        <f t="shared" si="2"/>
        <v>1060.6427012905895</v>
      </c>
      <c r="J26" s="65">
        <f>(NPV($E$6,$H$14:$H26))+$J$13</f>
        <v>787.1459741882063</v>
      </c>
      <c r="K26" s="66">
        <f>IRR($H$13:H26,$E$6)</f>
        <v>0.05718666359182273</v>
      </c>
    </row>
    <row r="27" spans="2:11" ht="12.75">
      <c r="B27" s="137">
        <v>15</v>
      </c>
      <c r="D27" s="285">
        <v>2000</v>
      </c>
      <c r="E27" s="95">
        <f t="shared" si="0"/>
        <v>1010.1359059910377</v>
      </c>
      <c r="F27" s="285">
        <v>0</v>
      </c>
      <c r="G27" s="95">
        <f t="shared" si="3"/>
        <v>0</v>
      </c>
      <c r="H27" s="95">
        <f t="shared" si="1"/>
        <v>2000</v>
      </c>
      <c r="I27" s="95">
        <f t="shared" si="2"/>
        <v>1010.1359059910377</v>
      </c>
      <c r="J27" s="65">
        <f>(NPV($E$6,$H$14:$H27))+$J$13</f>
        <v>1797.2818801792419</v>
      </c>
      <c r="K27" s="66">
        <f>IRR($H$13:H27,$E$6)</f>
        <v>0.0652523076550929</v>
      </c>
    </row>
    <row r="28" spans="2:11" ht="12.75">
      <c r="B28" s="137">
        <v>16</v>
      </c>
      <c r="D28" s="285">
        <v>2000</v>
      </c>
      <c r="E28" s="95">
        <f t="shared" si="0"/>
        <v>962.0341961819404</v>
      </c>
      <c r="F28" s="285">
        <v>0</v>
      </c>
      <c r="G28" s="95">
        <f t="shared" si="3"/>
        <v>0</v>
      </c>
      <c r="H28" s="95">
        <f t="shared" si="1"/>
        <v>2000</v>
      </c>
      <c r="I28" s="95">
        <f t="shared" si="2"/>
        <v>962.0341961819404</v>
      </c>
      <c r="J28" s="65">
        <f>(NPV($E$6,$H$14:$H28))+$J$13</f>
        <v>2759.3160763611813</v>
      </c>
      <c r="K28" s="66">
        <f>IRR($H$13:H28,$E$6)</f>
        <v>0.07189314082311078</v>
      </c>
    </row>
    <row r="29" spans="2:11" ht="12.75">
      <c r="B29" s="137">
        <v>17</v>
      </c>
      <c r="D29" s="285">
        <v>2000</v>
      </c>
      <c r="E29" s="95">
        <f t="shared" si="0"/>
        <v>916.2230439828004</v>
      </c>
      <c r="F29" s="285">
        <v>0</v>
      </c>
      <c r="G29" s="95">
        <f t="shared" si="3"/>
        <v>0</v>
      </c>
      <c r="H29" s="95">
        <f t="shared" si="1"/>
        <v>2000</v>
      </c>
      <c r="I29" s="95">
        <f t="shared" si="2"/>
        <v>916.2230439828004</v>
      </c>
      <c r="J29" s="65">
        <f>(NPV($E$6,$H$14:$H29))+$J$13</f>
        <v>3675.539120343983</v>
      </c>
      <c r="K29" s="66">
        <f>IRR($H$13:H29,$E$6)</f>
        <v>0.07740732210920517</v>
      </c>
    </row>
    <row r="30" spans="2:11" ht="12.75">
      <c r="B30" s="137">
        <v>18</v>
      </c>
      <c r="D30" s="285">
        <v>2000</v>
      </c>
      <c r="E30" s="95">
        <f t="shared" si="0"/>
        <v>872.5933752217146</v>
      </c>
      <c r="F30" s="285">
        <v>0</v>
      </c>
      <c r="G30" s="95">
        <f t="shared" si="3"/>
        <v>0</v>
      </c>
      <c r="H30" s="95">
        <f t="shared" si="1"/>
        <v>2000</v>
      </c>
      <c r="I30" s="95">
        <f t="shared" si="2"/>
        <v>872.5933752217146</v>
      </c>
      <c r="J30" s="65">
        <f>(NPV($E$6,$H$14:$H30))+$J$13</f>
        <v>4548.132495565693</v>
      </c>
      <c r="K30" s="66">
        <f>IRR($H$13:H30,$E$6)</f>
        <v>0.08202033557181775</v>
      </c>
    </row>
    <row r="31" spans="2:11" ht="12.75">
      <c r="B31" s="137">
        <v>19</v>
      </c>
      <c r="D31" s="285">
        <v>2000</v>
      </c>
      <c r="E31" s="95">
        <f t="shared" si="0"/>
        <v>831.0413097349663</v>
      </c>
      <c r="F31" s="285">
        <v>0</v>
      </c>
      <c r="G31" s="95">
        <f t="shared" si="3"/>
        <v>0</v>
      </c>
      <c r="H31" s="95">
        <f t="shared" si="1"/>
        <v>2000</v>
      </c>
      <c r="I31" s="95">
        <f t="shared" si="2"/>
        <v>831.0413097349663</v>
      </c>
      <c r="J31" s="65">
        <f>(NPV($E$6,$H$14:$H31))+$J$13</f>
        <v>5379.173805300659</v>
      </c>
      <c r="K31" s="66">
        <f>IRR($H$13:H31,$E$6)</f>
        <v>0.08590513424187421</v>
      </c>
    </row>
    <row r="32" spans="2:11" ht="12.75">
      <c r="B32" s="137">
        <v>20</v>
      </c>
      <c r="D32" s="285">
        <v>2000</v>
      </c>
      <c r="E32" s="95">
        <f t="shared" si="0"/>
        <v>791.4679140333012</v>
      </c>
      <c r="F32" s="285">
        <v>0</v>
      </c>
      <c r="G32" s="95">
        <f t="shared" si="3"/>
        <v>0</v>
      </c>
      <c r="H32" s="95">
        <f t="shared" si="1"/>
        <v>2000</v>
      </c>
      <c r="I32" s="95">
        <f t="shared" si="2"/>
        <v>791.4679140333012</v>
      </c>
      <c r="J32" s="65">
        <f>(NPV($E$6,$H$14:$H32))+$J$13</f>
        <v>6170.6417193339585</v>
      </c>
      <c r="K32" s="66">
        <f>IRR($H$13:$H$32,$E$6)</f>
        <v>0.08919607381965156</v>
      </c>
    </row>
    <row r="33" spans="2:8" ht="12.75">
      <c r="B33" s="137"/>
      <c r="D33" s="143"/>
      <c r="E33" s="144"/>
      <c r="F33" s="143"/>
      <c r="H33" s="95"/>
    </row>
    <row r="34" spans="2:10" ht="12.75">
      <c r="B34" s="137"/>
      <c r="D34" s="143"/>
      <c r="F34" s="143"/>
      <c r="H34" s="95"/>
      <c r="J34" s="65"/>
    </row>
    <row r="35" spans="5:10" ht="12.75">
      <c r="E35" s="65">
        <f>SUM(E$13:E$32)</f>
        <v>26170.641719333973</v>
      </c>
      <c r="G35" s="65">
        <f>SUM(G13:G32)</f>
        <v>20000</v>
      </c>
      <c r="I35" s="65">
        <f>SUM(I13:I32)</f>
        <v>6170.64171933397</v>
      </c>
      <c r="J35" s="142"/>
    </row>
    <row r="36" spans="2:10" ht="12.75">
      <c r="B36" s="138" t="s">
        <v>151</v>
      </c>
      <c r="C36" s="139"/>
      <c r="D36" s="145">
        <f>SUM(D13:D32)</f>
        <v>40000</v>
      </c>
      <c r="E36" s="139"/>
      <c r="F36" s="145">
        <f>SUM(F13:F32)</f>
        <v>20000</v>
      </c>
      <c r="G36" s="139"/>
      <c r="H36" s="145">
        <f>SUM(H13:H32)</f>
        <v>20000</v>
      </c>
      <c r="J36" s="146"/>
    </row>
    <row r="37" spans="2:10" ht="12.75">
      <c r="B37" s="138"/>
      <c r="C37" s="139"/>
      <c r="D37" s="145"/>
      <c r="E37" s="139"/>
      <c r="F37" s="145"/>
      <c r="G37" s="139"/>
      <c r="H37" s="145"/>
      <c r="J37" s="146"/>
    </row>
    <row r="38" spans="2:10" ht="12.75">
      <c r="B38" s="138"/>
      <c r="C38" s="139"/>
      <c r="D38" s="145"/>
      <c r="E38" s="139"/>
      <c r="F38" s="145"/>
      <c r="G38" s="139"/>
      <c r="H38" s="145"/>
      <c r="J38" s="146"/>
    </row>
    <row r="39" spans="2:10" ht="13.5" thickBot="1">
      <c r="B39" s="138"/>
      <c r="C39" s="139"/>
      <c r="D39" s="145"/>
      <c r="E39" s="139"/>
      <c r="F39" s="145"/>
      <c r="G39" s="139"/>
      <c r="H39" s="145"/>
      <c r="J39" s="146"/>
    </row>
    <row r="40" spans="2:10" ht="13.5" thickTop="1">
      <c r="B40" s="138"/>
      <c r="C40" s="139"/>
      <c r="D40" s="147"/>
      <c r="E40" s="148"/>
      <c r="F40" s="149"/>
      <c r="G40" s="148"/>
      <c r="H40" s="149"/>
      <c r="I40" s="150"/>
      <c r="J40" s="151"/>
    </row>
    <row r="41" spans="2:10" ht="12.75">
      <c r="B41" s="138"/>
      <c r="C41" s="139"/>
      <c r="D41" s="152"/>
      <c r="E41" s="153" t="s">
        <v>171</v>
      </c>
      <c r="F41" s="154"/>
      <c r="G41" s="153"/>
      <c r="H41" s="154"/>
      <c r="I41" s="153"/>
      <c r="J41" s="155"/>
    </row>
    <row r="42" spans="4:10" ht="12.75">
      <c r="D42" s="156"/>
      <c r="E42" s="157"/>
      <c r="F42" s="157"/>
      <c r="G42" s="157"/>
      <c r="H42" s="157"/>
      <c r="I42" s="157"/>
      <c r="J42" s="158"/>
    </row>
    <row r="43" spans="4:10" ht="12.75">
      <c r="D43" s="156"/>
      <c r="E43" s="159" t="s">
        <v>169</v>
      </c>
      <c r="F43" s="157"/>
      <c r="G43" s="159" t="s">
        <v>172</v>
      </c>
      <c r="H43" s="157"/>
      <c r="I43" s="159" t="s">
        <v>173</v>
      </c>
      <c r="J43" s="158"/>
    </row>
    <row r="44" spans="4:10" ht="12.75">
      <c r="D44" s="156"/>
      <c r="E44" s="160">
        <f>NPV(E6,H14:H32)+H13</f>
        <v>6170.6417193339585</v>
      </c>
      <c r="F44" s="161"/>
      <c r="G44" s="162">
        <f>IRR($H$13:$H$32,$E$6)</f>
        <v>0.08919607381965156</v>
      </c>
      <c r="H44" s="161"/>
      <c r="I44" s="163">
        <f>IF(G35=0,0,E35/G35)</f>
        <v>1.3085320859666987</v>
      </c>
      <c r="J44" s="158"/>
    </row>
    <row r="45" spans="4:10" ht="13.5" thickBot="1">
      <c r="D45" s="164"/>
      <c r="E45" s="165"/>
      <c r="F45" s="166"/>
      <c r="G45" s="165"/>
      <c r="H45" s="167"/>
      <c r="I45" s="165"/>
      <c r="J45" s="168"/>
    </row>
    <row r="46" ht="13.5" thickTop="1"/>
    <row r="49" spans="2:11" ht="12.75">
      <c r="B49" s="169" t="s">
        <v>174</v>
      </c>
      <c r="C49" s="170"/>
      <c r="D49" s="170"/>
      <c r="E49" s="171"/>
      <c r="F49" s="172"/>
      <c r="G49" s="173"/>
      <c r="H49" s="174" t="s">
        <v>175</v>
      </c>
      <c r="I49" s="170"/>
      <c r="J49" s="170"/>
      <c r="K49" s="175"/>
    </row>
    <row r="50" spans="2:11" ht="12.75">
      <c r="B50" s="176"/>
      <c r="C50" s="177"/>
      <c r="D50" s="177"/>
      <c r="E50" s="177"/>
      <c r="F50" s="178"/>
      <c r="G50" s="179"/>
      <c r="H50" s="180" t="s">
        <v>176</v>
      </c>
      <c r="I50" s="181" t="s">
        <v>177</v>
      </c>
      <c r="J50" s="181" t="s">
        <v>178</v>
      </c>
      <c r="K50" s="182" t="s">
        <v>179</v>
      </c>
    </row>
    <row r="51" spans="2:11" ht="12.75">
      <c r="B51" s="183" t="s">
        <v>180</v>
      </c>
      <c r="C51" s="177"/>
      <c r="D51" s="177"/>
      <c r="E51" s="177"/>
      <c r="F51" s="286">
        <v>190</v>
      </c>
      <c r="G51" s="179"/>
      <c r="H51" s="184" t="s">
        <v>181</v>
      </c>
      <c r="I51" s="185" t="s">
        <v>182</v>
      </c>
      <c r="J51" s="185" t="s">
        <v>182</v>
      </c>
      <c r="K51" s="186" t="s">
        <v>181</v>
      </c>
    </row>
    <row r="52" spans="2:11" ht="12.75">
      <c r="B52" s="187" t="s">
        <v>183</v>
      </c>
      <c r="C52" s="188"/>
      <c r="D52" s="188"/>
      <c r="E52" s="188"/>
      <c r="F52" s="189"/>
      <c r="G52" s="179"/>
      <c r="H52" s="189" t="s">
        <v>183</v>
      </c>
      <c r="I52" s="188"/>
      <c r="J52" s="188"/>
      <c r="K52" s="190"/>
    </row>
    <row r="53" spans="2:11" ht="12.75">
      <c r="B53" s="183" t="s">
        <v>184</v>
      </c>
      <c r="C53" s="177"/>
      <c r="D53" s="177"/>
      <c r="E53" s="177"/>
      <c r="F53" s="191">
        <f>IF($F51=0,0,$E35/$F51)</f>
        <v>137.74021957544196</v>
      </c>
      <c r="G53" s="179"/>
      <c r="H53" s="192">
        <f>IF($F51=0,0,($E35*0.9)/$F51)</f>
        <v>123.96619761789776</v>
      </c>
      <c r="I53" s="193">
        <f>IF($F51=0,0,$E35/$F51)</f>
        <v>137.74021957544196</v>
      </c>
      <c r="J53" s="193">
        <f>IF($F51=0,0,$E35/$F51)</f>
        <v>137.74021957544196</v>
      </c>
      <c r="K53" s="194">
        <f>IF($F51=0,0,($E35*1.1)/$F51)</f>
        <v>151.51424153298618</v>
      </c>
    </row>
    <row r="54" spans="2:11" ht="12.75">
      <c r="B54" s="183" t="s">
        <v>185</v>
      </c>
      <c r="C54" s="177"/>
      <c r="D54" s="177"/>
      <c r="E54" s="177"/>
      <c r="F54" s="191">
        <f>IF($F51=0,0,$G35/$F51)</f>
        <v>105.26315789473684</v>
      </c>
      <c r="G54" s="179"/>
      <c r="H54" s="192">
        <f>IF($F51=0,0,$G35/$F51)</f>
        <v>105.26315789473684</v>
      </c>
      <c r="I54" s="193">
        <f>IF($F51=0,0,($G35*1.1)/$F51)</f>
        <v>115.78947368421052</v>
      </c>
      <c r="J54" s="193">
        <f>IF($F51=0,0,($G35*0.9)/$F51)</f>
        <v>94.73684210526316</v>
      </c>
      <c r="K54" s="194">
        <f>IF($F51=0,0,$G35/$F51)</f>
        <v>105.26315789473684</v>
      </c>
    </row>
    <row r="55" spans="2:11" ht="12.75">
      <c r="B55" s="183" t="s">
        <v>186</v>
      </c>
      <c r="C55" s="177"/>
      <c r="D55" s="177"/>
      <c r="E55" s="177"/>
      <c r="F55" s="191">
        <f>IF($F51=0,0,$I35/$F51)</f>
        <v>32.477061680705106</v>
      </c>
      <c r="G55" s="179"/>
      <c r="H55" s="192">
        <f>IF($F51=0,0,H53-H54)</f>
        <v>18.703039723160927</v>
      </c>
      <c r="I55" s="193">
        <f>IF($F51=0,0,I53-I54)</f>
        <v>21.950745891231435</v>
      </c>
      <c r="J55" s="193">
        <f>IF($F51=0,0,J53-J54)</f>
        <v>43.00337747017879</v>
      </c>
      <c r="K55" s="194">
        <f>IF($F51=0,0,K53-K54)</f>
        <v>46.25108363824934</v>
      </c>
    </row>
    <row r="56" spans="2:11" ht="12.75">
      <c r="B56" s="176"/>
      <c r="C56" s="177"/>
      <c r="D56" s="177"/>
      <c r="E56" s="177"/>
      <c r="F56" s="178"/>
      <c r="G56" s="179"/>
      <c r="H56" s="195"/>
      <c r="I56" s="177"/>
      <c r="J56" s="177"/>
      <c r="K56" s="196"/>
    </row>
    <row r="57" spans="2:11" ht="12.75">
      <c r="B57" s="187" t="s">
        <v>187</v>
      </c>
      <c r="C57" s="197"/>
      <c r="D57" s="197"/>
      <c r="E57" s="197"/>
      <c r="F57" s="197"/>
      <c r="G57" s="198"/>
      <c r="H57" s="189" t="s">
        <v>187</v>
      </c>
      <c r="I57" s="197"/>
      <c r="J57" s="197"/>
      <c r="K57" s="199"/>
    </row>
    <row r="58" spans="2:11" ht="12.75">
      <c r="B58" s="183" t="s">
        <v>188</v>
      </c>
      <c r="C58" s="177"/>
      <c r="D58" s="177"/>
      <c r="E58" s="177"/>
      <c r="F58" s="191">
        <f>F53/$E$9</f>
        <v>6.887010978772098</v>
      </c>
      <c r="G58" s="200"/>
      <c r="H58" s="192">
        <f aca="true" t="shared" si="4" ref="H58:K60">H53/$E$9</f>
        <v>6.198309880894888</v>
      </c>
      <c r="I58" s="193">
        <f t="shared" si="4"/>
        <v>6.887010978772098</v>
      </c>
      <c r="J58" s="193">
        <f t="shared" si="4"/>
        <v>6.887010978772098</v>
      </c>
      <c r="K58" s="194">
        <f t="shared" si="4"/>
        <v>7.5757120766493085</v>
      </c>
    </row>
    <row r="59" spans="2:11" ht="12.75">
      <c r="B59" s="183" t="s">
        <v>189</v>
      </c>
      <c r="C59" s="177"/>
      <c r="D59" s="177"/>
      <c r="E59" s="177"/>
      <c r="F59" s="191">
        <f>F54/$E$9</f>
        <v>5.263157894736842</v>
      </c>
      <c r="G59" s="200"/>
      <c r="H59" s="192">
        <f t="shared" si="4"/>
        <v>5.263157894736842</v>
      </c>
      <c r="I59" s="193">
        <f t="shared" si="4"/>
        <v>5.789473684210526</v>
      </c>
      <c r="J59" s="193">
        <f t="shared" si="4"/>
        <v>4.736842105263158</v>
      </c>
      <c r="K59" s="194">
        <f t="shared" si="4"/>
        <v>5.263157894736842</v>
      </c>
    </row>
    <row r="60" spans="2:11" ht="12.75">
      <c r="B60" s="201" t="s">
        <v>190</v>
      </c>
      <c r="C60" s="202"/>
      <c r="D60" s="202"/>
      <c r="E60" s="202"/>
      <c r="F60" s="203">
        <f>F55/$E$9</f>
        <v>1.6238530840352552</v>
      </c>
      <c r="G60" s="204"/>
      <c r="H60" s="205">
        <f t="shared" si="4"/>
        <v>0.9351519861580464</v>
      </c>
      <c r="I60" s="206">
        <f t="shared" si="4"/>
        <v>1.0975372945615718</v>
      </c>
      <c r="J60" s="206">
        <f t="shared" si="4"/>
        <v>2.1501688735089397</v>
      </c>
      <c r="K60" s="207">
        <f t="shared" si="4"/>
        <v>2.312554181912467</v>
      </c>
    </row>
    <row r="61" spans="6:7" ht="12.75">
      <c r="F61" s="144"/>
      <c r="G61" s="144"/>
    </row>
    <row r="62" spans="6:9" ht="12.75">
      <c r="F62" s="144"/>
      <c r="G62" s="144"/>
      <c r="I62" s="144"/>
    </row>
  </sheetData>
  <sheetProtection password="CBAF" sheet="1" objects="1" scenarios="1"/>
  <protectedRanges>
    <protectedRange sqref="E6 E9 F51 F13:F32 D13:D32" name="NPVInput"/>
  </protectedRange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Herbel</dc:creator>
  <cp:keywords/>
  <dc:description/>
  <cp:lastModifiedBy> </cp:lastModifiedBy>
  <cp:lastPrinted>2006-08-14T23:09:31Z</cp:lastPrinted>
  <dcterms:created xsi:type="dcterms:W3CDTF">2005-12-31T01:52:57Z</dcterms:created>
  <dcterms:modified xsi:type="dcterms:W3CDTF">2006-08-31T02:58:59Z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760155160</vt:i4>
  </property>
  <property fmtid="{D5CDD505-2E9C-101B-9397-08002B2CF9AE}" pid="3" name="_EmailSubject">
    <vt:lpwstr>crp decision tool</vt:lpwstr>
  </property>
  <property fmtid="{D5CDD505-2E9C-101B-9397-08002B2CF9AE}" pid="4" name="_AuthorEmail">
    <vt:lpwstr>jonesrd@mail.agecon.ksu.edu</vt:lpwstr>
  </property>
  <property fmtid="{D5CDD505-2E9C-101B-9397-08002B2CF9AE}" pid="5" name="_AuthorEmailDisplayName">
    <vt:lpwstr>Rodney Jones</vt:lpwstr>
  </property>
</Properties>
</file>